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fgovit-my.sharepoint.com/personal/sergio_manzon_rgsp_tesoro_it/Documents/Documenti/"/>
    </mc:Choice>
  </mc:AlternateContent>
  <xr:revisionPtr revIDLastSave="18" documentId="8_{DCDA17C8-7628-48BA-858E-A12FA0B6421D}" xr6:coauthVersionLast="47" xr6:coauthVersionMax="47" xr10:uidLastSave="{EB51FD1D-02A8-4932-A3A5-8568E3515A41}"/>
  <bookViews>
    <workbookView xWindow="-120" yWindow="-120" windowWidth="29040" windowHeight="15840" xr2:uid="{B65224BB-23C4-4D09-AA97-31C0DAC34EA1}"/>
  </bookViews>
  <sheets>
    <sheet name="Foglio1" sheetId="14" r:id="rId1"/>
    <sheet name="ka01" sheetId="1" state="hidden" r:id="rId2"/>
    <sheet name="KA03" sheetId="2" state="hidden" r:id="rId3"/>
    <sheet name="KA04" sheetId="3" state="hidden" r:id="rId4"/>
    <sheet name="ka09" sheetId="11" state="hidden" r:id="rId5"/>
    <sheet name="KA05" sheetId="4" state="hidden" r:id="rId6"/>
    <sheet name="KA06" sheetId="5" state="hidden" r:id="rId7"/>
    <sheet name="KA07" sheetId="6" state="hidden" r:id="rId8"/>
    <sheet name="KA08" sheetId="7" state="hidden" r:id="rId9"/>
    <sheet name="KD01" sheetId="8" state="hidden" r:id="rId10"/>
    <sheet name="kd03" sheetId="12" state="hidden" r:id="rId11"/>
    <sheet name="KA11" sheetId="13" state="hidden" r:id="rId12"/>
    <sheet name="KA10" sheetId="9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18" i="2" l="1"/>
  <c r="AB18" i="2"/>
  <c r="Z18" i="2"/>
  <c r="X18" i="2"/>
  <c r="V18" i="2"/>
  <c r="V33" i="14"/>
  <c r="V32" i="14"/>
  <c r="V26" i="14"/>
  <c r="V28" i="14"/>
  <c r="V24" i="14"/>
  <c r="H4" i="14"/>
  <c r="AD19" i="7"/>
  <c r="AD18" i="7"/>
  <c r="AD17" i="7"/>
  <c r="AD16" i="7"/>
  <c r="AD15" i="7"/>
  <c r="AD14" i="7"/>
  <c r="AC15" i="7"/>
  <c r="AC16" i="7"/>
  <c r="AC17" i="7"/>
  <c r="AC18" i="7"/>
  <c r="AC19" i="7"/>
  <c r="AC14" i="7"/>
  <c r="AB19" i="7"/>
  <c r="AB18" i="7"/>
  <c r="AB17" i="7"/>
  <c r="AB16" i="7"/>
  <c r="AB15" i="7"/>
  <c r="AB14" i="7"/>
  <c r="AA15" i="7"/>
  <c r="AA16" i="7"/>
  <c r="AA17" i="7"/>
  <c r="AA18" i="7"/>
  <c r="AA19" i="7"/>
  <c r="AA14" i="7"/>
  <c r="Y19" i="7"/>
  <c r="Y18" i="7"/>
  <c r="Y17" i="7"/>
  <c r="Z17" i="7" s="1"/>
  <c r="Y16" i="7"/>
  <c r="Y15" i="7"/>
  <c r="Y14" i="7"/>
  <c r="Z19" i="7"/>
  <c r="Z18" i="7"/>
  <c r="Z16" i="7"/>
  <c r="Z15" i="7"/>
  <c r="Z14" i="7"/>
  <c r="AD19" i="6"/>
  <c r="AD18" i="6"/>
  <c r="AD17" i="6"/>
  <c r="AD16" i="6"/>
  <c r="AD15" i="6"/>
  <c r="AD14" i="6"/>
  <c r="AC15" i="6"/>
  <c r="AC16" i="6"/>
  <c r="AC17" i="6"/>
  <c r="AC18" i="6"/>
  <c r="AC19" i="6"/>
  <c r="AC14" i="6"/>
  <c r="AA15" i="6"/>
  <c r="AA16" i="6"/>
  <c r="AA17" i="6"/>
  <c r="AA18" i="6"/>
  <c r="AA19" i="6"/>
  <c r="AA14" i="6"/>
  <c r="AB19" i="6"/>
  <c r="AB18" i="6"/>
  <c r="AB17" i="6"/>
  <c r="AB16" i="6"/>
  <c r="AB15" i="6"/>
  <c r="AB14" i="6"/>
  <c r="Y19" i="6"/>
  <c r="Y18" i="6"/>
  <c r="Y17" i="6"/>
  <c r="Z17" i="6" s="1"/>
  <c r="Y15" i="6"/>
  <c r="Y16" i="6"/>
  <c r="Y14" i="6"/>
  <c r="Z19" i="6"/>
  <c r="Z18" i="6"/>
  <c r="Z16" i="6"/>
  <c r="Z15" i="6"/>
  <c r="Z14" i="6"/>
  <c r="AA15" i="5"/>
  <c r="AA16" i="5"/>
  <c r="AA17" i="5"/>
  <c r="AA18" i="5"/>
  <c r="AA19" i="5"/>
  <c r="AA14" i="5"/>
  <c r="G2" i="5"/>
  <c r="AD19" i="5"/>
  <c r="AD18" i="5"/>
  <c r="AD17" i="5"/>
  <c r="AD16" i="5"/>
  <c r="AD15" i="5"/>
  <c r="AD14" i="5"/>
  <c r="AC15" i="5"/>
  <c r="AC16" i="5"/>
  <c r="AC17" i="5"/>
  <c r="AC18" i="5"/>
  <c r="AC19" i="5"/>
  <c r="AB19" i="5"/>
  <c r="AB18" i="5"/>
  <c r="AB17" i="5"/>
  <c r="AB16" i="5"/>
  <c r="AB15" i="5"/>
  <c r="AB14" i="5"/>
  <c r="Y19" i="5"/>
  <c r="Y18" i="5"/>
  <c r="Y17" i="5"/>
  <c r="Z17" i="5" s="1"/>
  <c r="Y16" i="5"/>
  <c r="Y15" i="5"/>
  <c r="Y14" i="5"/>
  <c r="Z19" i="5"/>
  <c r="Z18" i="5"/>
  <c r="Z16" i="5"/>
  <c r="Z15" i="5"/>
  <c r="Z14" i="5"/>
  <c r="AD19" i="4"/>
  <c r="AD18" i="4"/>
  <c r="AD17" i="4"/>
  <c r="AD16" i="4"/>
  <c r="AD15" i="4"/>
  <c r="AD14" i="4"/>
  <c r="AC15" i="4"/>
  <c r="AC16" i="4"/>
  <c r="AC17" i="4"/>
  <c r="AC18" i="4"/>
  <c r="AC19" i="4"/>
  <c r="AC14" i="4"/>
  <c r="AB19" i="4"/>
  <c r="AB18" i="4"/>
  <c r="AB17" i="4"/>
  <c r="AB16" i="4"/>
  <c r="AB15" i="4"/>
  <c r="AB14" i="4"/>
  <c r="AA15" i="4"/>
  <c r="AA16" i="4"/>
  <c r="AA17" i="4"/>
  <c r="AA18" i="4"/>
  <c r="AA19" i="4"/>
  <c r="AA14" i="4"/>
  <c r="Y19" i="4"/>
  <c r="Y18" i="4"/>
  <c r="Y17" i="4"/>
  <c r="Z17" i="4" s="1"/>
  <c r="Y16" i="4"/>
  <c r="Y15" i="4"/>
  <c r="Y14" i="4"/>
  <c r="Z19" i="4"/>
  <c r="Z18" i="4"/>
  <c r="Z16" i="4"/>
  <c r="Z15" i="4"/>
  <c r="Z14" i="4"/>
  <c r="AD19" i="11"/>
  <c r="AD18" i="11"/>
  <c r="AD17" i="11"/>
  <c r="AD16" i="11"/>
  <c r="AD15" i="11"/>
  <c r="AD14" i="11"/>
  <c r="AC15" i="11"/>
  <c r="AC16" i="11"/>
  <c r="AC17" i="11"/>
  <c r="AC18" i="11"/>
  <c r="AC19" i="11"/>
  <c r="AC14" i="11"/>
  <c r="AA15" i="11"/>
  <c r="AA16" i="11"/>
  <c r="AA17" i="11"/>
  <c r="AA18" i="11"/>
  <c r="AA19" i="11"/>
  <c r="AA14" i="11"/>
  <c r="AB14" i="11"/>
  <c r="AB19" i="11"/>
  <c r="AB18" i="11"/>
  <c r="AB17" i="11"/>
  <c r="AB16" i="11"/>
  <c r="AB15" i="11"/>
  <c r="Y19" i="11"/>
  <c r="Y18" i="11"/>
  <c r="Y17" i="11"/>
  <c r="Z17" i="11" s="1"/>
  <c r="Y16" i="11"/>
  <c r="Y15" i="11"/>
  <c r="Y14" i="11"/>
  <c r="Z19" i="11"/>
  <c r="Z18" i="11"/>
  <c r="Z16" i="11"/>
  <c r="Z15" i="11"/>
  <c r="Z14" i="11"/>
  <c r="AA14" i="3"/>
  <c r="Y19" i="3"/>
  <c r="Y18" i="3"/>
  <c r="Y17" i="3"/>
  <c r="Z17" i="3" s="1"/>
  <c r="Y16" i="3"/>
  <c r="Y15" i="3"/>
  <c r="Y14" i="3"/>
  <c r="AD19" i="3"/>
  <c r="AD18" i="3"/>
  <c r="AD17" i="3"/>
  <c r="AD16" i="3"/>
  <c r="AD15" i="3"/>
  <c r="AD14" i="3"/>
  <c r="AB19" i="3"/>
  <c r="AB18" i="3"/>
  <c r="AB17" i="3"/>
  <c r="AB16" i="3"/>
  <c r="AB15" i="3"/>
  <c r="AB14" i="3"/>
  <c r="Z19" i="3"/>
  <c r="Z18" i="3"/>
  <c r="Z16" i="3"/>
  <c r="Z15" i="3"/>
  <c r="Z14" i="3"/>
  <c r="AA15" i="1"/>
  <c r="AA16" i="1"/>
  <c r="AB16" i="1" s="1"/>
  <c r="AA17" i="1"/>
  <c r="AA18" i="1"/>
  <c r="AA19" i="1"/>
  <c r="AA14" i="1"/>
  <c r="AD19" i="2"/>
  <c r="AD17" i="2"/>
  <c r="AD16" i="2"/>
  <c r="AD15" i="2"/>
  <c r="AD14" i="2"/>
  <c r="AC15" i="2"/>
  <c r="AC16" i="2"/>
  <c r="AC17" i="2"/>
  <c r="AC18" i="2"/>
  <c r="AC19" i="2"/>
  <c r="AC14" i="2"/>
  <c r="AA15" i="2"/>
  <c r="AA16" i="2"/>
  <c r="AA17" i="2"/>
  <c r="AA18" i="2"/>
  <c r="AA19" i="2"/>
  <c r="AA14" i="2"/>
  <c r="AB19" i="2"/>
  <c r="AB17" i="2"/>
  <c r="AB16" i="2"/>
  <c r="AB15" i="2"/>
  <c r="AB14" i="2"/>
  <c r="Y19" i="2"/>
  <c r="Y18" i="2"/>
  <c r="Y17" i="2"/>
  <c r="Z17" i="2" s="1"/>
  <c r="Y16" i="2"/>
  <c r="Y15" i="2"/>
  <c r="Y14" i="2"/>
  <c r="Z19" i="2"/>
  <c r="Z16" i="2"/>
  <c r="Z15" i="2"/>
  <c r="Z14" i="2"/>
  <c r="AD19" i="1"/>
  <c r="AD18" i="1"/>
  <c r="AD17" i="1"/>
  <c r="AD16" i="1"/>
  <c r="AD15" i="1"/>
  <c r="AD14" i="1"/>
  <c r="AC15" i="1"/>
  <c r="AC16" i="1"/>
  <c r="AC17" i="1"/>
  <c r="AC18" i="1"/>
  <c r="AC19" i="1"/>
  <c r="AC14" i="1"/>
  <c r="AB19" i="1"/>
  <c r="AB18" i="1"/>
  <c r="AB17" i="1"/>
  <c r="AB15" i="1"/>
  <c r="AB14" i="1"/>
  <c r="Y19" i="1"/>
  <c r="Y18" i="1"/>
  <c r="Y17" i="1"/>
  <c r="Z17" i="1" s="1"/>
  <c r="Y16" i="1"/>
  <c r="Z16" i="1" s="1"/>
  <c r="Y15" i="1"/>
  <c r="Y14" i="1"/>
  <c r="Z19" i="1"/>
  <c r="Z18" i="1"/>
  <c r="Z15" i="1"/>
  <c r="Z14" i="1"/>
  <c r="W19" i="7"/>
  <c r="W18" i="7"/>
  <c r="W17" i="7"/>
  <c r="X17" i="7" s="1"/>
  <c r="W16" i="7"/>
  <c r="W15" i="7"/>
  <c r="W14" i="7"/>
  <c r="X19" i="7"/>
  <c r="X18" i="7"/>
  <c r="X16" i="7"/>
  <c r="X15" i="7"/>
  <c r="X14" i="7"/>
  <c r="W19" i="6"/>
  <c r="W18" i="6"/>
  <c r="W17" i="6"/>
  <c r="X17" i="6" s="1"/>
  <c r="W16" i="6"/>
  <c r="W15" i="6"/>
  <c r="W14" i="6"/>
  <c r="X19" i="6"/>
  <c r="X18" i="6"/>
  <c r="X16" i="6"/>
  <c r="X15" i="6"/>
  <c r="X14" i="6"/>
  <c r="W19" i="5"/>
  <c r="W18" i="5"/>
  <c r="W17" i="5"/>
  <c r="X17" i="5" s="1"/>
  <c r="W16" i="5"/>
  <c r="W15" i="5"/>
  <c r="W14" i="5"/>
  <c r="X19" i="5"/>
  <c r="X18" i="5"/>
  <c r="X16" i="5"/>
  <c r="X15" i="5"/>
  <c r="X14" i="5"/>
  <c r="X19" i="4"/>
  <c r="X18" i="4"/>
  <c r="X16" i="4"/>
  <c r="X15" i="4"/>
  <c r="X14" i="4"/>
  <c r="W19" i="4"/>
  <c r="W18" i="4"/>
  <c r="W17" i="4"/>
  <c r="X17" i="4" s="1"/>
  <c r="W16" i="4"/>
  <c r="W15" i="4"/>
  <c r="W14" i="4"/>
  <c r="W19" i="11"/>
  <c r="W18" i="11"/>
  <c r="W17" i="11"/>
  <c r="X17" i="11" s="1"/>
  <c r="W16" i="11"/>
  <c r="W15" i="11"/>
  <c r="W14" i="11"/>
  <c r="X19" i="11"/>
  <c r="X18" i="11"/>
  <c r="X16" i="11"/>
  <c r="X15" i="11"/>
  <c r="X14" i="11"/>
  <c r="U19" i="11"/>
  <c r="U18" i="11"/>
  <c r="U17" i="11"/>
  <c r="V17" i="11" s="1"/>
  <c r="U16" i="11"/>
  <c r="U15" i="11"/>
  <c r="U14" i="11"/>
  <c r="V19" i="11"/>
  <c r="V18" i="11"/>
  <c r="V16" i="11"/>
  <c r="V15" i="11"/>
  <c r="V14" i="11"/>
  <c r="I26" i="11"/>
  <c r="G7" i="11"/>
  <c r="G6" i="11"/>
  <c r="G5" i="11"/>
  <c r="G4" i="11"/>
  <c r="G3" i="11"/>
  <c r="G2" i="11"/>
  <c r="F7" i="11"/>
  <c r="F6" i="11"/>
  <c r="F5" i="11"/>
  <c r="F4" i="11"/>
  <c r="F3" i="11"/>
  <c r="F2" i="11"/>
  <c r="U7" i="11"/>
  <c r="U6" i="11"/>
  <c r="U4" i="11"/>
  <c r="U3" i="11"/>
  <c r="T7" i="11"/>
  <c r="T6" i="11"/>
  <c r="T4" i="11"/>
  <c r="T3" i="11"/>
  <c r="T2" i="11"/>
  <c r="X18" i="3"/>
  <c r="X16" i="3"/>
  <c r="X15" i="3"/>
  <c r="X14" i="3"/>
  <c r="W19" i="3"/>
  <c r="X19" i="3" s="1"/>
  <c r="W18" i="3"/>
  <c r="W17" i="3"/>
  <c r="X17" i="3" s="1"/>
  <c r="W16" i="3"/>
  <c r="W15" i="3"/>
  <c r="W14" i="3"/>
  <c r="X19" i="2"/>
  <c r="X16" i="2"/>
  <c r="X15" i="2"/>
  <c r="X14" i="2"/>
  <c r="W19" i="2"/>
  <c r="W18" i="2"/>
  <c r="W17" i="2"/>
  <c r="X17" i="2" s="1"/>
  <c r="W16" i="2"/>
  <c r="W15" i="2"/>
  <c r="W14" i="2"/>
  <c r="X19" i="1"/>
  <c r="X18" i="1"/>
  <c r="X16" i="1"/>
  <c r="X15" i="1"/>
  <c r="X14" i="1"/>
  <c r="W19" i="1"/>
  <c r="W18" i="1"/>
  <c r="W17" i="1"/>
  <c r="X17" i="1" s="1"/>
  <c r="W16" i="1"/>
  <c r="W15" i="1"/>
  <c r="W14" i="1"/>
  <c r="V19" i="5"/>
  <c r="V18" i="5"/>
  <c r="V17" i="5"/>
  <c r="V16" i="5"/>
  <c r="V15" i="5"/>
  <c r="V14" i="5"/>
  <c r="U19" i="5"/>
  <c r="U18" i="5"/>
  <c r="U17" i="5"/>
  <c r="U16" i="5"/>
  <c r="U15" i="5"/>
  <c r="U14" i="5"/>
  <c r="I26" i="5"/>
  <c r="K3" i="5"/>
  <c r="K4" i="5"/>
  <c r="K5" i="5"/>
  <c r="K6" i="5"/>
  <c r="K7" i="5"/>
  <c r="G7" i="5"/>
  <c r="G6" i="5"/>
  <c r="G5" i="5"/>
  <c r="G4" i="5"/>
  <c r="G3" i="5"/>
  <c r="F7" i="5"/>
  <c r="F6" i="5"/>
  <c r="F5" i="5"/>
  <c r="F4" i="5"/>
  <c r="F3" i="5"/>
  <c r="F2" i="5"/>
  <c r="U7" i="5"/>
  <c r="U6" i="5"/>
  <c r="U5" i="5"/>
  <c r="U3" i="5"/>
  <c r="U2" i="5"/>
  <c r="T7" i="5"/>
  <c r="T6" i="5"/>
  <c r="T5" i="5"/>
  <c r="T3" i="5"/>
  <c r="T2" i="5"/>
  <c r="AD20" i="5" l="1"/>
  <c r="AD26" i="5" s="1"/>
  <c r="Z31" i="1" s="1"/>
  <c r="AD20" i="6"/>
  <c r="AB20" i="7"/>
  <c r="AB20" i="6"/>
  <c r="AD20" i="7"/>
  <c r="Z20" i="7"/>
  <c r="Z20" i="6"/>
  <c r="AB20" i="5"/>
  <c r="AB26" i="5" s="1"/>
  <c r="Y31" i="1" s="1"/>
  <c r="Z20" i="5"/>
  <c r="Z26" i="5" s="1"/>
  <c r="X31" i="1" s="1"/>
  <c r="AB20" i="4"/>
  <c r="AD20" i="4"/>
  <c r="AD20" i="11"/>
  <c r="AD26" i="11" s="1"/>
  <c r="Z29" i="1" s="1"/>
  <c r="Z20" i="4"/>
  <c r="AB20" i="11"/>
  <c r="AB26" i="11" s="1"/>
  <c r="Y29" i="1" s="1"/>
  <c r="Z20" i="11"/>
  <c r="Z26" i="11" s="1"/>
  <c r="X29" i="1" s="1"/>
  <c r="AD20" i="3"/>
  <c r="AD20" i="2"/>
  <c r="AB20" i="3"/>
  <c r="Z20" i="3"/>
  <c r="AD20" i="1"/>
  <c r="AB20" i="1"/>
  <c r="AB20" i="2"/>
  <c r="Z20" i="2"/>
  <c r="Z20" i="1"/>
  <c r="X20" i="7"/>
  <c r="X20" i="6"/>
  <c r="X20" i="5"/>
  <c r="X26" i="5" s="1"/>
  <c r="W32" i="1" s="1"/>
  <c r="X20" i="4"/>
  <c r="X20" i="11"/>
  <c r="X26" i="11" s="1"/>
  <c r="W33" i="1" s="1"/>
  <c r="V20" i="11"/>
  <c r="V26" i="11" s="1"/>
  <c r="V33" i="1" s="1"/>
  <c r="X20" i="2"/>
  <c r="X20" i="1"/>
  <c r="X20" i="3"/>
  <c r="V20" i="5"/>
  <c r="V26" i="5" s="1"/>
  <c r="V32" i="1" s="1"/>
  <c r="U19" i="7"/>
  <c r="U18" i="7"/>
  <c r="U17" i="7"/>
  <c r="U16" i="7"/>
  <c r="V16" i="7" s="1"/>
  <c r="U15" i="7"/>
  <c r="V19" i="7"/>
  <c r="V18" i="7"/>
  <c r="V17" i="7"/>
  <c r="V15" i="7"/>
  <c r="V14" i="7"/>
  <c r="U14" i="7"/>
  <c r="V19" i="6"/>
  <c r="V18" i="6"/>
  <c r="V17" i="6"/>
  <c r="V16" i="6"/>
  <c r="V15" i="6"/>
  <c r="V14" i="6"/>
  <c r="U19" i="6"/>
  <c r="U18" i="6"/>
  <c r="U14" i="6"/>
  <c r="U17" i="6"/>
  <c r="U16" i="6"/>
  <c r="U15" i="6"/>
  <c r="U19" i="4"/>
  <c r="U18" i="4"/>
  <c r="U17" i="4"/>
  <c r="U16" i="4"/>
  <c r="U15" i="4"/>
  <c r="U14" i="4"/>
  <c r="V19" i="4"/>
  <c r="V18" i="4"/>
  <c r="V17" i="4"/>
  <c r="V16" i="4"/>
  <c r="V15" i="4"/>
  <c r="V14" i="4"/>
  <c r="V18" i="3"/>
  <c r="V19" i="3"/>
  <c r="V17" i="3"/>
  <c r="V16" i="3"/>
  <c r="V15" i="3"/>
  <c r="V14" i="3"/>
  <c r="U19" i="3"/>
  <c r="U18" i="3"/>
  <c r="U17" i="3"/>
  <c r="U16" i="3"/>
  <c r="U15" i="3"/>
  <c r="U14" i="3"/>
  <c r="V19" i="2"/>
  <c r="V17" i="2"/>
  <c r="V16" i="2"/>
  <c r="V15" i="2"/>
  <c r="U19" i="2"/>
  <c r="U18" i="2"/>
  <c r="U17" i="2"/>
  <c r="U16" i="2"/>
  <c r="U15" i="2"/>
  <c r="V14" i="2"/>
  <c r="U14" i="2"/>
  <c r="F7" i="2"/>
  <c r="F6" i="2"/>
  <c r="F5" i="2"/>
  <c r="F4" i="2"/>
  <c r="F3" i="2"/>
  <c r="F2" i="2"/>
  <c r="V19" i="1"/>
  <c r="V18" i="1"/>
  <c r="V17" i="1"/>
  <c r="V16" i="1"/>
  <c r="V15" i="1"/>
  <c r="V14" i="1"/>
  <c r="U19" i="1"/>
  <c r="U18" i="1"/>
  <c r="U17" i="1"/>
  <c r="U16" i="1"/>
  <c r="U15" i="1"/>
  <c r="U14" i="1"/>
  <c r="F7" i="1"/>
  <c r="F6" i="1"/>
  <c r="F5" i="1"/>
  <c r="F4" i="1"/>
  <c r="F3" i="1"/>
  <c r="F2" i="1"/>
  <c r="K3" i="7"/>
  <c r="K4" i="7"/>
  <c r="K5" i="7"/>
  <c r="K6" i="7"/>
  <c r="K7" i="7"/>
  <c r="K2" i="7"/>
  <c r="U2" i="7" s="1"/>
  <c r="K3" i="6"/>
  <c r="K4" i="6"/>
  <c r="K5" i="6"/>
  <c r="K6" i="6"/>
  <c r="K7" i="6"/>
  <c r="K2" i="6"/>
  <c r="K3" i="4"/>
  <c r="K4" i="4"/>
  <c r="K5" i="4"/>
  <c r="K6" i="4"/>
  <c r="K7" i="4"/>
  <c r="K2" i="4"/>
  <c r="U2" i="4" s="1"/>
  <c r="K3" i="2"/>
  <c r="K4" i="2"/>
  <c r="K5" i="2"/>
  <c r="K6" i="2"/>
  <c r="K7" i="2"/>
  <c r="K2" i="2"/>
  <c r="U2" i="2" s="1"/>
  <c r="K3" i="1"/>
  <c r="K4" i="1"/>
  <c r="K5" i="1"/>
  <c r="K6" i="1"/>
  <c r="K7" i="1"/>
  <c r="K2" i="1"/>
  <c r="I26" i="3"/>
  <c r="U4" i="3"/>
  <c r="U3" i="3"/>
  <c r="U2" i="3"/>
  <c r="T6" i="3"/>
  <c r="T5" i="3"/>
  <c r="T4" i="3"/>
  <c r="T3" i="3"/>
  <c r="T2" i="3"/>
  <c r="U6" i="3"/>
  <c r="U5" i="3"/>
  <c r="G7" i="3"/>
  <c r="G6" i="3"/>
  <c r="G5" i="3"/>
  <c r="F7" i="3"/>
  <c r="F6" i="3"/>
  <c r="F5" i="3"/>
  <c r="F4" i="3"/>
  <c r="F3" i="3"/>
  <c r="F2" i="3"/>
  <c r="U7" i="2"/>
  <c r="U6" i="2"/>
  <c r="U5" i="2"/>
  <c r="U4" i="2"/>
  <c r="U3" i="2"/>
  <c r="T7" i="2"/>
  <c r="T6" i="2"/>
  <c r="T5" i="2"/>
  <c r="T3" i="2"/>
  <c r="T2" i="2"/>
  <c r="I26" i="2"/>
  <c r="G7" i="2"/>
  <c r="G6" i="2"/>
  <c r="G5" i="2"/>
  <c r="G4" i="2"/>
  <c r="G3" i="2"/>
  <c r="G2" i="2"/>
  <c r="G7" i="6"/>
  <c r="G6" i="6"/>
  <c r="G5" i="6"/>
  <c r="I5" i="6" s="1"/>
  <c r="G3" i="6"/>
  <c r="G4" i="6"/>
  <c r="G2" i="6"/>
  <c r="F7" i="6"/>
  <c r="F6" i="6"/>
  <c r="F5" i="6"/>
  <c r="F4" i="6"/>
  <c r="F3" i="6"/>
  <c r="F2" i="6"/>
  <c r="U7" i="6"/>
  <c r="U6" i="6"/>
  <c r="U5" i="6"/>
  <c r="U3" i="6"/>
  <c r="U2" i="6"/>
  <c r="T7" i="6"/>
  <c r="T6" i="6"/>
  <c r="T5" i="6"/>
  <c r="T3" i="6"/>
  <c r="T2" i="6"/>
  <c r="I26" i="6"/>
  <c r="U4" i="7"/>
  <c r="U5" i="7"/>
  <c r="U6" i="7"/>
  <c r="U7" i="7"/>
  <c r="U3" i="7"/>
  <c r="T7" i="7"/>
  <c r="T6" i="7"/>
  <c r="T5" i="7"/>
  <c r="T4" i="7"/>
  <c r="T3" i="7"/>
  <c r="T2" i="7"/>
  <c r="F7" i="7"/>
  <c r="H7" i="7" s="1"/>
  <c r="G7" i="7"/>
  <c r="G6" i="7"/>
  <c r="F6" i="7"/>
  <c r="G5" i="7"/>
  <c r="I5" i="7" s="1"/>
  <c r="F5" i="7"/>
  <c r="H5" i="7" s="1"/>
  <c r="G4" i="7"/>
  <c r="F4" i="7"/>
  <c r="G3" i="7"/>
  <c r="F3" i="7"/>
  <c r="G2" i="7"/>
  <c r="F2" i="7"/>
  <c r="I26" i="7"/>
  <c r="I26" i="4"/>
  <c r="G7" i="4"/>
  <c r="G6" i="4"/>
  <c r="G5" i="4"/>
  <c r="G4" i="4"/>
  <c r="G3" i="4"/>
  <c r="G2" i="4"/>
  <c r="F7" i="4"/>
  <c r="F6" i="4"/>
  <c r="F5" i="4"/>
  <c r="F4" i="4"/>
  <c r="F3" i="4"/>
  <c r="F2" i="4"/>
  <c r="U6" i="4"/>
  <c r="U5" i="4"/>
  <c r="U4" i="4"/>
  <c r="U3" i="4"/>
  <c r="T6" i="4"/>
  <c r="T5" i="4"/>
  <c r="T4" i="4"/>
  <c r="T3" i="4"/>
  <c r="T2" i="4"/>
  <c r="I26" i="1"/>
  <c r="T6" i="1"/>
  <c r="T5" i="1"/>
  <c r="T3" i="1"/>
  <c r="T2" i="1"/>
  <c r="U6" i="1"/>
  <c r="U5" i="1"/>
  <c r="U4" i="1"/>
  <c r="U3" i="1"/>
  <c r="U2" i="1"/>
  <c r="E5" i="1"/>
  <c r="G5" i="1" s="1"/>
  <c r="E6" i="1"/>
  <c r="G6" i="1" s="1"/>
  <c r="E7" i="1"/>
  <c r="G7" i="1" s="1"/>
  <c r="G2" i="1"/>
  <c r="B36" i="2"/>
  <c r="B33" i="2"/>
  <c r="B32" i="2"/>
  <c r="C32" i="2" s="1"/>
  <c r="D32" i="2" s="1"/>
  <c r="B31" i="2"/>
  <c r="B39" i="2" s="1"/>
  <c r="B30" i="2"/>
  <c r="B38" i="2" s="1"/>
  <c r="B29" i="2"/>
  <c r="B37" i="2" s="1"/>
  <c r="B28" i="2"/>
  <c r="C28" i="2" s="1"/>
  <c r="D28" i="2" s="1"/>
  <c r="B25" i="2"/>
  <c r="C25" i="2" s="1"/>
  <c r="D25" i="2" s="1"/>
  <c r="B24" i="2"/>
  <c r="B23" i="2"/>
  <c r="B22" i="2"/>
  <c r="C22" i="2" s="1"/>
  <c r="D22" i="2" s="1"/>
  <c r="B21" i="2"/>
  <c r="C21" i="2" s="1"/>
  <c r="D21" i="2" s="1"/>
  <c r="B20" i="2"/>
  <c r="E17" i="2"/>
  <c r="E25" i="2" s="1"/>
  <c r="E33" i="2" s="1"/>
  <c r="B17" i="2"/>
  <c r="E16" i="2"/>
  <c r="E24" i="2" s="1"/>
  <c r="E32" i="2" s="1"/>
  <c r="B16" i="2"/>
  <c r="C16" i="2" s="1"/>
  <c r="D16" i="2" s="1"/>
  <c r="E15" i="2"/>
  <c r="E23" i="2" s="1"/>
  <c r="E31" i="2" s="1"/>
  <c r="B15" i="2"/>
  <c r="E14" i="2"/>
  <c r="E22" i="2" s="1"/>
  <c r="E30" i="2" s="1"/>
  <c r="B14" i="2"/>
  <c r="E13" i="2"/>
  <c r="E21" i="2" s="1"/>
  <c r="E29" i="2" s="1"/>
  <c r="B13" i="2"/>
  <c r="E12" i="2"/>
  <c r="E20" i="2" s="1"/>
  <c r="E28" i="2" s="1"/>
  <c r="B12" i="2"/>
  <c r="C12" i="2" s="1"/>
  <c r="D12" i="2" s="1"/>
  <c r="B39" i="1"/>
  <c r="C39" i="1" s="1"/>
  <c r="B36" i="1"/>
  <c r="C36" i="1"/>
  <c r="D36" i="1" s="1"/>
  <c r="B29" i="1"/>
  <c r="B37" i="1" s="1"/>
  <c r="B30" i="1"/>
  <c r="C30" i="1" s="1"/>
  <c r="D30" i="1" s="1"/>
  <c r="B31" i="1"/>
  <c r="B32" i="1"/>
  <c r="B40" i="1" s="1"/>
  <c r="C40" i="1" s="1"/>
  <c r="D40" i="1" s="1"/>
  <c r="B33" i="1"/>
  <c r="C33" i="1" s="1"/>
  <c r="B28" i="1"/>
  <c r="C28" i="1"/>
  <c r="D28" i="1" s="1"/>
  <c r="B21" i="1"/>
  <c r="B22" i="1"/>
  <c r="C22" i="1" s="1"/>
  <c r="D22" i="1" s="1"/>
  <c r="B23" i="1"/>
  <c r="B24" i="1"/>
  <c r="C24" i="1" s="1"/>
  <c r="D24" i="1" s="1"/>
  <c r="B25" i="1"/>
  <c r="B20" i="1"/>
  <c r="C20" i="1" s="1"/>
  <c r="D20" i="1" s="1"/>
  <c r="E13" i="1"/>
  <c r="E21" i="1" s="1"/>
  <c r="E29" i="1" s="1"/>
  <c r="E14" i="1"/>
  <c r="E22" i="1" s="1"/>
  <c r="E30" i="1" s="1"/>
  <c r="E15" i="1"/>
  <c r="E23" i="1" s="1"/>
  <c r="E31" i="1" s="1"/>
  <c r="E16" i="1"/>
  <c r="E24" i="1" s="1"/>
  <c r="E32" i="1" s="1"/>
  <c r="E17" i="1"/>
  <c r="E25" i="1" s="1"/>
  <c r="E33" i="1" s="1"/>
  <c r="E12" i="1"/>
  <c r="E20" i="1" s="1"/>
  <c r="E28" i="1" s="1"/>
  <c r="C16" i="1"/>
  <c r="B13" i="1"/>
  <c r="B14" i="1"/>
  <c r="B15" i="1"/>
  <c r="C15" i="1" s="1"/>
  <c r="B16" i="1"/>
  <c r="B17" i="1"/>
  <c r="C17" i="1" s="1"/>
  <c r="B12" i="1"/>
  <c r="E2" i="7"/>
  <c r="E3" i="7"/>
  <c r="E4" i="7"/>
  <c r="M12" i="1"/>
  <c r="M15" i="1"/>
  <c r="M14" i="1"/>
  <c r="M13" i="1"/>
  <c r="P7" i="7"/>
  <c r="Q7" i="7" s="1"/>
  <c r="R7" i="7" s="1"/>
  <c r="P6" i="7"/>
  <c r="Q6" i="7" s="1"/>
  <c r="R6" i="7" s="1"/>
  <c r="P5" i="7"/>
  <c r="Q5" i="7" s="1"/>
  <c r="R5" i="7" s="1"/>
  <c r="P7" i="6"/>
  <c r="Q7" i="6" s="1"/>
  <c r="R7" i="6" s="1"/>
  <c r="P6" i="6"/>
  <c r="H5" i="6"/>
  <c r="P5" i="6"/>
  <c r="Q5" i="6"/>
  <c r="R5" i="6"/>
  <c r="H6" i="6"/>
  <c r="J6" i="6" s="1"/>
  <c r="N6" i="6" s="1"/>
  <c r="I6" i="6"/>
  <c r="O6" i="6" s="1"/>
  <c r="Q6" i="6"/>
  <c r="R6" i="6" s="1"/>
  <c r="H7" i="6"/>
  <c r="I7" i="6"/>
  <c r="Z26" i="7" l="1"/>
  <c r="X33" i="1" s="1"/>
  <c r="AD26" i="7"/>
  <c r="Z33" i="1" s="1"/>
  <c r="AB26" i="7"/>
  <c r="Y33" i="1" s="1"/>
  <c r="AD26" i="6"/>
  <c r="Z32" i="1" s="1"/>
  <c r="Z26" i="6"/>
  <c r="X32" i="1" s="1"/>
  <c r="AB26" i="6"/>
  <c r="Y32" i="1" s="1"/>
  <c r="X26" i="4"/>
  <c r="W29" i="1" s="1"/>
  <c r="AB26" i="4"/>
  <c r="Y30" i="1" s="1"/>
  <c r="Z26" i="4"/>
  <c r="X30" i="1" s="1"/>
  <c r="AD26" i="4"/>
  <c r="Z30" i="1" s="1"/>
  <c r="Z26" i="1"/>
  <c r="AD26" i="3"/>
  <c r="Z28" i="1" s="1"/>
  <c r="Z26" i="3"/>
  <c r="X28" i="1" s="1"/>
  <c r="AB26" i="3"/>
  <c r="Y28" i="1" s="1"/>
  <c r="AB26" i="2"/>
  <c r="Y27" i="1" s="1"/>
  <c r="AD26" i="2"/>
  <c r="Z27" i="1" s="1"/>
  <c r="Z26" i="2"/>
  <c r="X27" i="1" s="1"/>
  <c r="Y26" i="1"/>
  <c r="X26" i="1"/>
  <c r="X26" i="3"/>
  <c r="W28" i="1" s="1"/>
  <c r="X26" i="7"/>
  <c r="W31" i="1" s="1"/>
  <c r="X26" i="6"/>
  <c r="W30" i="1" s="1"/>
  <c r="X26" i="2"/>
  <c r="W27" i="1" s="1"/>
  <c r="W26" i="1"/>
  <c r="V20" i="7"/>
  <c r="V26" i="7" s="1"/>
  <c r="V31" i="1" s="1"/>
  <c r="V20" i="6"/>
  <c r="V26" i="6" s="1"/>
  <c r="V30" i="1" s="1"/>
  <c r="V20" i="4"/>
  <c r="V26" i="4" s="1"/>
  <c r="V29" i="1" s="1"/>
  <c r="V20" i="3"/>
  <c r="V26" i="3" s="1"/>
  <c r="V28" i="1" s="1"/>
  <c r="V20" i="2"/>
  <c r="V26" i="2" s="1"/>
  <c r="V27" i="1" s="1"/>
  <c r="V20" i="1"/>
  <c r="V26" i="1" s="1"/>
  <c r="O5" i="7"/>
  <c r="C14" i="1"/>
  <c r="D14" i="1" s="1"/>
  <c r="C13" i="1"/>
  <c r="D13" i="1" s="1"/>
  <c r="F13" i="1" s="1"/>
  <c r="G13" i="1" s="1"/>
  <c r="D16" i="1"/>
  <c r="F16" i="1" s="1"/>
  <c r="B41" i="1"/>
  <c r="C41" i="1" s="1"/>
  <c r="D41" i="1" s="1"/>
  <c r="C32" i="1"/>
  <c r="D32" i="1" s="1"/>
  <c r="D15" i="1"/>
  <c r="F15" i="1"/>
  <c r="D17" i="1"/>
  <c r="C12" i="1"/>
  <c r="D12" i="1" s="1"/>
  <c r="B38" i="1"/>
  <c r="C38" i="1" s="1"/>
  <c r="D38" i="1" s="1"/>
  <c r="M16" i="1"/>
  <c r="M17" i="1" s="1"/>
  <c r="U8" i="2"/>
  <c r="K26" i="2" s="1"/>
  <c r="K30" i="1" s="1"/>
  <c r="U8" i="7"/>
  <c r="K26" i="7" s="1"/>
  <c r="K28" i="1" s="1"/>
  <c r="T8" i="7"/>
  <c r="J26" i="7" s="1"/>
  <c r="J28" i="1" s="1"/>
  <c r="C37" i="2"/>
  <c r="D37" i="2" s="1"/>
  <c r="D20" i="2"/>
  <c r="D38" i="2"/>
  <c r="C38" i="2"/>
  <c r="D13" i="2"/>
  <c r="G21" i="2"/>
  <c r="F21" i="2"/>
  <c r="C39" i="2"/>
  <c r="D39" i="2" s="1"/>
  <c r="D15" i="2"/>
  <c r="F22" i="2"/>
  <c r="G22" i="2"/>
  <c r="G32" i="2"/>
  <c r="F32" i="2"/>
  <c r="F25" i="2"/>
  <c r="G25" i="2"/>
  <c r="D33" i="2"/>
  <c r="F28" i="2"/>
  <c r="G28" i="2" s="1"/>
  <c r="G12" i="2"/>
  <c r="F12" i="2"/>
  <c r="F16" i="2"/>
  <c r="G16" i="2"/>
  <c r="D24" i="2"/>
  <c r="D36" i="2"/>
  <c r="C15" i="2"/>
  <c r="C31" i="2"/>
  <c r="D31" i="2" s="1"/>
  <c r="C14" i="2"/>
  <c r="D14" i="2" s="1"/>
  <c r="C20" i="2"/>
  <c r="C24" i="2"/>
  <c r="C30" i="2"/>
  <c r="C36" i="2"/>
  <c r="B41" i="2"/>
  <c r="C13" i="2"/>
  <c r="C17" i="2"/>
  <c r="D17" i="2" s="1"/>
  <c r="C23" i="2"/>
  <c r="D23" i="2" s="1"/>
  <c r="C29" i="2"/>
  <c r="C33" i="2"/>
  <c r="D30" i="2"/>
  <c r="D29" i="2"/>
  <c r="B40" i="2"/>
  <c r="F36" i="1"/>
  <c r="F40" i="1"/>
  <c r="D39" i="1"/>
  <c r="C37" i="1"/>
  <c r="D37" i="1" s="1"/>
  <c r="F30" i="1"/>
  <c r="G30" i="1" s="1"/>
  <c r="F28" i="1"/>
  <c r="G28" i="1" s="1"/>
  <c r="F32" i="1"/>
  <c r="G32" i="1" s="1"/>
  <c r="C31" i="1"/>
  <c r="D31" i="1" s="1"/>
  <c r="C29" i="1"/>
  <c r="D29" i="1" s="1"/>
  <c r="D33" i="1"/>
  <c r="F22" i="1"/>
  <c r="G22" i="1" s="1"/>
  <c r="F24" i="1"/>
  <c r="G24" i="1" s="1"/>
  <c r="F20" i="1"/>
  <c r="G20" i="1" s="1"/>
  <c r="C23" i="1"/>
  <c r="D23" i="1" s="1"/>
  <c r="C21" i="1"/>
  <c r="D21" i="1" s="1"/>
  <c r="C25" i="1"/>
  <c r="D25" i="1" s="1"/>
  <c r="I7" i="7"/>
  <c r="O7" i="7" s="1"/>
  <c r="J7" i="7"/>
  <c r="N7" i="7" s="1"/>
  <c r="J5" i="7"/>
  <c r="N5" i="7" s="1"/>
  <c r="H6" i="7"/>
  <c r="J6" i="7" s="1"/>
  <c r="N6" i="7" s="1"/>
  <c r="I6" i="7"/>
  <c r="O6" i="7" s="1"/>
  <c r="S6" i="6"/>
  <c r="O7" i="6"/>
  <c r="O5" i="6"/>
  <c r="J7" i="6"/>
  <c r="N7" i="6" s="1"/>
  <c r="J5" i="6"/>
  <c r="N5" i="6" s="1"/>
  <c r="P7" i="5"/>
  <c r="P6" i="5"/>
  <c r="P7" i="4"/>
  <c r="P6" i="4"/>
  <c r="Q6" i="4" s="1"/>
  <c r="R6" i="4" s="1"/>
  <c r="E5" i="5"/>
  <c r="H5" i="5"/>
  <c r="I5" i="5"/>
  <c r="P5" i="5"/>
  <c r="Q5" i="5"/>
  <c r="R5" i="5" s="1"/>
  <c r="E6" i="5"/>
  <c r="I6" i="5" s="1"/>
  <c r="H6" i="5"/>
  <c r="J6" i="5" s="1"/>
  <c r="N6" i="5" s="1"/>
  <c r="Q6" i="5"/>
  <c r="R6" i="5" s="1"/>
  <c r="E7" i="5"/>
  <c r="H7" i="5"/>
  <c r="Q7" i="5"/>
  <c r="R7" i="5" s="1"/>
  <c r="E5" i="4"/>
  <c r="H5" i="4"/>
  <c r="P5" i="4"/>
  <c r="Q5" i="4"/>
  <c r="R5" i="4"/>
  <c r="E6" i="4"/>
  <c r="H6" i="4"/>
  <c r="J6" i="4" s="1"/>
  <c r="N6" i="4" s="1"/>
  <c r="E5" i="11"/>
  <c r="H5" i="11"/>
  <c r="J5" i="11" s="1"/>
  <c r="Q5" i="11"/>
  <c r="E6" i="11"/>
  <c r="I6" i="11" s="1"/>
  <c r="H6" i="11"/>
  <c r="J6" i="11" s="1"/>
  <c r="N6" i="11" s="1"/>
  <c r="Q6" i="11"/>
  <c r="K6" i="11" s="1"/>
  <c r="R6" i="11"/>
  <c r="E7" i="11"/>
  <c r="H7" i="11"/>
  <c r="J7" i="11" s="1"/>
  <c r="N7" i="11" s="1"/>
  <c r="Q7" i="11"/>
  <c r="H5" i="3"/>
  <c r="P5" i="3"/>
  <c r="Q5" i="3" s="1"/>
  <c r="R5" i="3" s="1"/>
  <c r="H6" i="3"/>
  <c r="I6" i="3"/>
  <c r="K6" i="3" s="1"/>
  <c r="AC18" i="3" s="1"/>
  <c r="P6" i="3"/>
  <c r="AA18" i="3" s="1"/>
  <c r="Q6" i="3"/>
  <c r="R6" i="3"/>
  <c r="H7" i="3"/>
  <c r="J7" i="3" s="1"/>
  <c r="P7" i="3"/>
  <c r="AA19" i="3" s="1"/>
  <c r="Q7" i="3"/>
  <c r="R7" i="3" s="1"/>
  <c r="E5" i="2"/>
  <c r="I5" i="2" s="1"/>
  <c r="H5" i="2"/>
  <c r="P5" i="2"/>
  <c r="Q5" i="2" s="1"/>
  <c r="R5" i="2" s="1"/>
  <c r="E6" i="2"/>
  <c r="H6" i="2"/>
  <c r="J6" i="2" s="1"/>
  <c r="N6" i="2" s="1"/>
  <c r="P6" i="2"/>
  <c r="Q6" i="2"/>
  <c r="R6" i="2"/>
  <c r="E7" i="2"/>
  <c r="H7" i="2"/>
  <c r="I7" i="2"/>
  <c r="P7" i="2"/>
  <c r="Q7" i="2"/>
  <c r="R7" i="2" s="1"/>
  <c r="P7" i="1"/>
  <c r="Q7" i="1" s="1"/>
  <c r="R7" i="1" s="1"/>
  <c r="H7" i="1"/>
  <c r="J7" i="1" s="1"/>
  <c r="P6" i="1"/>
  <c r="Q6" i="1" s="1"/>
  <c r="R6" i="1" s="1"/>
  <c r="H6" i="1"/>
  <c r="J6" i="1" s="1"/>
  <c r="N6" i="1" s="1"/>
  <c r="P5" i="1"/>
  <c r="Q5" i="1" s="1"/>
  <c r="R5" i="1" s="1"/>
  <c r="Q7" i="4"/>
  <c r="R7" i="4" s="1"/>
  <c r="E7" i="4"/>
  <c r="P4" i="13"/>
  <c r="Q4" i="13" s="1"/>
  <c r="R4" i="13" s="1"/>
  <c r="G4" i="13"/>
  <c r="F4" i="13"/>
  <c r="E4" i="13"/>
  <c r="P3" i="13"/>
  <c r="Q3" i="13" s="1"/>
  <c r="R3" i="13" s="1"/>
  <c r="F3" i="13"/>
  <c r="E3" i="13"/>
  <c r="G3" i="13" s="1"/>
  <c r="R2" i="13"/>
  <c r="Q2" i="13"/>
  <c r="P2" i="13"/>
  <c r="I2" i="13"/>
  <c r="K2" i="13" s="1"/>
  <c r="O2" i="13" s="1"/>
  <c r="G2" i="13"/>
  <c r="F2" i="13"/>
  <c r="H2" i="13" s="1"/>
  <c r="J2" i="13" s="1"/>
  <c r="N2" i="13" s="1"/>
  <c r="S2" i="13" s="1"/>
  <c r="E2" i="13"/>
  <c r="E4" i="9"/>
  <c r="G4" i="9" s="1"/>
  <c r="F4" i="9"/>
  <c r="H4" i="9" s="1"/>
  <c r="P4" i="9"/>
  <c r="Q4" i="9" s="1"/>
  <c r="R4" i="9" s="1"/>
  <c r="E4" i="12"/>
  <c r="F4" i="12"/>
  <c r="H4" i="12" s="1"/>
  <c r="G4" i="12"/>
  <c r="I4" i="12" s="1"/>
  <c r="P4" i="12"/>
  <c r="Q4" i="12"/>
  <c r="R4" i="12" s="1"/>
  <c r="E5" i="8"/>
  <c r="G5" i="8" s="1"/>
  <c r="F5" i="8"/>
  <c r="H5" i="8" s="1"/>
  <c r="P5" i="8"/>
  <c r="Q5" i="8" s="1"/>
  <c r="R5" i="8" s="1"/>
  <c r="E6" i="8"/>
  <c r="F6" i="8"/>
  <c r="H6" i="8" s="1"/>
  <c r="G6" i="8"/>
  <c r="I6" i="8" s="1"/>
  <c r="P6" i="8"/>
  <c r="Q6" i="8"/>
  <c r="R6" i="8"/>
  <c r="E4" i="8"/>
  <c r="G4" i="8" s="1"/>
  <c r="I4" i="8" s="1"/>
  <c r="F4" i="8"/>
  <c r="H4" i="8" s="1"/>
  <c r="P4" i="8"/>
  <c r="Q4" i="8"/>
  <c r="R4" i="8" s="1"/>
  <c r="P4" i="7"/>
  <c r="H4" i="7"/>
  <c r="J4" i="7" s="1"/>
  <c r="N4" i="7" s="1"/>
  <c r="Q4" i="7"/>
  <c r="R4" i="7"/>
  <c r="P4" i="6"/>
  <c r="Q4" i="6" s="1"/>
  <c r="R4" i="6" s="1"/>
  <c r="P4" i="5"/>
  <c r="Q4" i="5" s="1"/>
  <c r="R4" i="5" s="1"/>
  <c r="H4" i="6"/>
  <c r="E4" i="5"/>
  <c r="H4" i="5"/>
  <c r="P4" i="4"/>
  <c r="E4" i="4"/>
  <c r="H4" i="4"/>
  <c r="I4" i="4"/>
  <c r="Q4" i="4"/>
  <c r="R4" i="4" s="1"/>
  <c r="E4" i="11"/>
  <c r="H4" i="11"/>
  <c r="Q4" i="11"/>
  <c r="E4" i="3"/>
  <c r="G4" i="3" s="1"/>
  <c r="H4" i="3"/>
  <c r="I4" i="3"/>
  <c r="P4" i="3"/>
  <c r="Q4" i="3" s="1"/>
  <c r="R4" i="3" s="1"/>
  <c r="E4" i="2"/>
  <c r="H4" i="2"/>
  <c r="I4" i="2"/>
  <c r="P4" i="2"/>
  <c r="Q4" i="2"/>
  <c r="R4" i="2" s="1"/>
  <c r="E4" i="1"/>
  <c r="G4" i="1" s="1"/>
  <c r="H4" i="1"/>
  <c r="J4" i="1" s="1"/>
  <c r="P4" i="1"/>
  <c r="Q4" i="1" s="1"/>
  <c r="R4" i="1" s="1"/>
  <c r="E3" i="9"/>
  <c r="F3" i="9"/>
  <c r="H3" i="9" s="1"/>
  <c r="G3" i="9"/>
  <c r="I3" i="9"/>
  <c r="K3" i="9" s="1"/>
  <c r="O3" i="9" s="1"/>
  <c r="P3" i="9"/>
  <c r="Q3" i="9"/>
  <c r="R3" i="9" s="1"/>
  <c r="Q3" i="12"/>
  <c r="R3" i="12" s="1"/>
  <c r="P3" i="12"/>
  <c r="F3" i="12"/>
  <c r="H3" i="12" s="1"/>
  <c r="J3" i="12" s="1"/>
  <c r="N3" i="12" s="1"/>
  <c r="E3" i="12"/>
  <c r="G3" i="12" s="1"/>
  <c r="P2" i="12"/>
  <c r="Q2" i="12" s="1"/>
  <c r="R2" i="12" s="1"/>
  <c r="F2" i="12"/>
  <c r="E2" i="12"/>
  <c r="G2" i="12" s="1"/>
  <c r="E3" i="8"/>
  <c r="G3" i="8" s="1"/>
  <c r="F3" i="8"/>
  <c r="H3" i="8" s="1"/>
  <c r="J3" i="8" s="1"/>
  <c r="N3" i="8" s="1"/>
  <c r="P3" i="8"/>
  <c r="Q3" i="8"/>
  <c r="R3" i="8"/>
  <c r="P3" i="7"/>
  <c r="Q3" i="7" s="1"/>
  <c r="R3" i="7" s="1"/>
  <c r="H3" i="7"/>
  <c r="J3" i="7" s="1"/>
  <c r="N3" i="7" s="1"/>
  <c r="E3" i="6"/>
  <c r="H3" i="6"/>
  <c r="J3" i="6" s="1"/>
  <c r="N3" i="6" s="1"/>
  <c r="P3" i="6"/>
  <c r="Q3" i="6"/>
  <c r="R3" i="6"/>
  <c r="Q3" i="5"/>
  <c r="R3" i="5" s="1"/>
  <c r="P3" i="5"/>
  <c r="I3" i="5"/>
  <c r="H3" i="5"/>
  <c r="J3" i="5" s="1"/>
  <c r="N3" i="5" s="1"/>
  <c r="E3" i="5"/>
  <c r="E3" i="4"/>
  <c r="I3" i="4" s="1"/>
  <c r="O3" i="4" s="1"/>
  <c r="H3" i="4"/>
  <c r="P3" i="4"/>
  <c r="Q3" i="4" s="1"/>
  <c r="R3" i="4" s="1"/>
  <c r="E2" i="11"/>
  <c r="Q3" i="11"/>
  <c r="H3" i="11"/>
  <c r="J3" i="11" s="1"/>
  <c r="N3" i="11" s="1"/>
  <c r="E3" i="11"/>
  <c r="Q2" i="11"/>
  <c r="E3" i="3"/>
  <c r="G3" i="3" s="1"/>
  <c r="E2" i="3"/>
  <c r="G2" i="3" s="1"/>
  <c r="H3" i="3"/>
  <c r="I3" i="3"/>
  <c r="P3" i="3"/>
  <c r="Q3" i="3"/>
  <c r="R3" i="3" s="1"/>
  <c r="E3" i="2"/>
  <c r="I3" i="2" s="1"/>
  <c r="O3" i="2" s="1"/>
  <c r="E2" i="2"/>
  <c r="P3" i="2"/>
  <c r="Q3" i="2" s="1"/>
  <c r="R3" i="2" s="1"/>
  <c r="E3" i="1"/>
  <c r="H3" i="1"/>
  <c r="P3" i="1"/>
  <c r="Q3" i="1" s="1"/>
  <c r="R3" i="1" s="1"/>
  <c r="P2" i="9"/>
  <c r="Q2" i="9" s="1"/>
  <c r="R2" i="9" s="1"/>
  <c r="F2" i="9"/>
  <c r="H2" i="9" s="1"/>
  <c r="E2" i="9"/>
  <c r="G2" i="9" s="1"/>
  <c r="E2" i="8"/>
  <c r="P2" i="8"/>
  <c r="Q2" i="8" s="1"/>
  <c r="R2" i="8" s="1"/>
  <c r="G2" i="8"/>
  <c r="F2" i="8"/>
  <c r="H2" i="8" s="1"/>
  <c r="Q2" i="7"/>
  <c r="R2" i="7" s="1"/>
  <c r="P2" i="7"/>
  <c r="H2" i="7"/>
  <c r="I2" i="7"/>
  <c r="J2" i="7"/>
  <c r="N2" i="7" s="1"/>
  <c r="E2" i="6"/>
  <c r="I2" i="6" s="1"/>
  <c r="P2" i="6"/>
  <c r="Q2" i="6" s="1"/>
  <c r="R2" i="6" s="1"/>
  <c r="P2" i="5"/>
  <c r="Q2" i="5" s="1"/>
  <c r="R2" i="5" s="1"/>
  <c r="P2" i="4"/>
  <c r="Q2" i="4" s="1"/>
  <c r="R2" i="4" s="1"/>
  <c r="H2" i="5"/>
  <c r="I2" i="4"/>
  <c r="O2" i="4" s="1"/>
  <c r="H2" i="4"/>
  <c r="Q2" i="3"/>
  <c r="R2" i="3" s="1"/>
  <c r="P2" i="3"/>
  <c r="H2" i="3"/>
  <c r="P2" i="2"/>
  <c r="Q2" i="2" s="1"/>
  <c r="R2" i="2" s="1"/>
  <c r="P2" i="1"/>
  <c r="Q2" i="1" s="1"/>
  <c r="R2" i="1" s="1"/>
  <c r="I2" i="1"/>
  <c r="O2" i="1" s="1"/>
  <c r="H2" i="1"/>
  <c r="J2" i="1" s="1"/>
  <c r="N2" i="1" s="1"/>
  <c r="R4" i="11" l="1"/>
  <c r="K4" i="11"/>
  <c r="R5" i="11"/>
  <c r="K5" i="11"/>
  <c r="R7" i="11"/>
  <c r="K7" i="11"/>
  <c r="R3" i="11"/>
  <c r="K3" i="11"/>
  <c r="R2" i="11"/>
  <c r="K2" i="11"/>
  <c r="U2" i="11" s="1"/>
  <c r="Z35" i="1"/>
  <c r="AA16" i="3"/>
  <c r="K4" i="3"/>
  <c r="AC16" i="3" s="1"/>
  <c r="AA15" i="3"/>
  <c r="K3" i="3"/>
  <c r="AC15" i="3" s="1"/>
  <c r="N7" i="3"/>
  <c r="T7" i="3"/>
  <c r="T8" i="3" s="1"/>
  <c r="J26" i="3" s="1"/>
  <c r="J31" i="1" s="1"/>
  <c r="AA17" i="3"/>
  <c r="X35" i="1"/>
  <c r="Y35" i="1"/>
  <c r="W35" i="1"/>
  <c r="N5" i="11"/>
  <c r="T5" i="11"/>
  <c r="T8" i="11" s="1"/>
  <c r="J26" i="11" s="1"/>
  <c r="J33" i="1" s="1"/>
  <c r="V35" i="1"/>
  <c r="N4" i="1"/>
  <c r="T4" i="1"/>
  <c r="S5" i="7"/>
  <c r="G15" i="1"/>
  <c r="F14" i="1"/>
  <c r="G14" i="1" s="1"/>
  <c r="G36" i="1"/>
  <c r="G16" i="1"/>
  <c r="G40" i="1"/>
  <c r="F12" i="1"/>
  <c r="G12" i="1" s="1"/>
  <c r="N7" i="1"/>
  <c r="T7" i="1"/>
  <c r="M18" i="1"/>
  <c r="G3" i="1"/>
  <c r="I3" i="1" s="1"/>
  <c r="O3" i="1" s="1"/>
  <c r="F17" i="1"/>
  <c r="G17" i="1" s="1"/>
  <c r="G39" i="1"/>
  <c r="F39" i="2"/>
  <c r="G39" i="2" s="1"/>
  <c r="F17" i="2"/>
  <c r="G17" i="2" s="1"/>
  <c r="F37" i="2"/>
  <c r="G37" i="2" s="1"/>
  <c r="F23" i="2"/>
  <c r="G23" i="2" s="1"/>
  <c r="G14" i="2"/>
  <c r="F14" i="2"/>
  <c r="F13" i="2"/>
  <c r="G13" i="2" s="1"/>
  <c r="C41" i="2"/>
  <c r="D41" i="2" s="1"/>
  <c r="F38" i="2"/>
  <c r="G38" i="2"/>
  <c r="G29" i="2"/>
  <c r="F29" i="2"/>
  <c r="F24" i="2"/>
  <c r="G24" i="2" s="1"/>
  <c r="F20" i="2"/>
  <c r="G20" i="2" s="1"/>
  <c r="F33" i="2"/>
  <c r="G33" i="2" s="1"/>
  <c r="G30" i="2"/>
  <c r="F30" i="2"/>
  <c r="F31" i="2"/>
  <c r="G31" i="2" s="1"/>
  <c r="C40" i="2"/>
  <c r="D40" i="2"/>
  <c r="F15" i="2"/>
  <c r="G15" i="2"/>
  <c r="G36" i="2"/>
  <c r="F36" i="2"/>
  <c r="F38" i="1"/>
  <c r="G38" i="1" s="1"/>
  <c r="F41" i="1"/>
  <c r="G41" i="1" s="1"/>
  <c r="F37" i="1"/>
  <c r="G37" i="1" s="1"/>
  <c r="F39" i="1"/>
  <c r="F29" i="1"/>
  <c r="G29" i="1" s="1"/>
  <c r="F33" i="1"/>
  <c r="G33" i="1" s="1"/>
  <c r="F31" i="1"/>
  <c r="G31" i="1" s="1"/>
  <c r="F21" i="1"/>
  <c r="G21" i="1" s="1"/>
  <c r="F23" i="1"/>
  <c r="G23" i="1" s="1"/>
  <c r="F25" i="1"/>
  <c r="G25" i="1" s="1"/>
  <c r="S7" i="7"/>
  <c r="S2" i="1"/>
  <c r="S6" i="7"/>
  <c r="S5" i="6"/>
  <c r="S7" i="6"/>
  <c r="J7" i="5"/>
  <c r="N7" i="5" s="1"/>
  <c r="I7" i="5"/>
  <c r="O7" i="5" s="1"/>
  <c r="O5" i="5"/>
  <c r="J5" i="5"/>
  <c r="N5" i="5" s="1"/>
  <c r="O6" i="5"/>
  <c r="S6" i="5" s="1"/>
  <c r="I5" i="4"/>
  <c r="O5" i="4" s="1"/>
  <c r="J5" i="4"/>
  <c r="N5" i="4" s="1"/>
  <c r="I6" i="4"/>
  <c r="O6" i="4" s="1"/>
  <c r="S6" i="4" s="1"/>
  <c r="I7" i="11"/>
  <c r="O7" i="11" s="1"/>
  <c r="S7" i="11" s="1"/>
  <c r="I5" i="11"/>
  <c r="O6" i="11"/>
  <c r="S6" i="11" s="1"/>
  <c r="O6" i="3"/>
  <c r="J6" i="3"/>
  <c r="N6" i="3" s="1"/>
  <c r="I5" i="3"/>
  <c r="I7" i="3"/>
  <c r="J5" i="3"/>
  <c r="N5" i="3" s="1"/>
  <c r="I6" i="2"/>
  <c r="O6" i="2"/>
  <c r="S6" i="2" s="1"/>
  <c r="O5" i="2"/>
  <c r="O7" i="2"/>
  <c r="J7" i="2"/>
  <c r="N7" i="2" s="1"/>
  <c r="J5" i="2"/>
  <c r="N5" i="2" s="1"/>
  <c r="H5" i="1"/>
  <c r="J5" i="1" s="1"/>
  <c r="N5" i="1" s="1"/>
  <c r="I7" i="1"/>
  <c r="I6" i="1"/>
  <c r="O6" i="1" s="1"/>
  <c r="I5" i="1"/>
  <c r="O5" i="1" s="1"/>
  <c r="I7" i="4"/>
  <c r="H7" i="4"/>
  <c r="J7" i="4" s="1"/>
  <c r="I3" i="13"/>
  <c r="K3" i="13" s="1"/>
  <c r="O3" i="13" s="1"/>
  <c r="K4" i="13"/>
  <c r="O4" i="13" s="1"/>
  <c r="H4" i="13"/>
  <c r="J4" i="13" s="1"/>
  <c r="N4" i="13" s="1"/>
  <c r="S4" i="13" s="1"/>
  <c r="I4" i="13"/>
  <c r="H3" i="13"/>
  <c r="J3" i="13" s="1"/>
  <c r="N3" i="13" s="1"/>
  <c r="I4" i="9"/>
  <c r="K4" i="9" s="1"/>
  <c r="O4" i="9" s="1"/>
  <c r="J4" i="9"/>
  <c r="N4" i="9" s="1"/>
  <c r="K4" i="12"/>
  <c r="O4" i="12" s="1"/>
  <c r="J4" i="12"/>
  <c r="N4" i="12" s="1"/>
  <c r="S4" i="12" s="1"/>
  <c r="K6" i="8"/>
  <c r="O6" i="8" s="1"/>
  <c r="J6" i="8"/>
  <c r="N6" i="8" s="1"/>
  <c r="I5" i="8"/>
  <c r="K5" i="8" s="1"/>
  <c r="O5" i="8" s="1"/>
  <c r="J5" i="8"/>
  <c r="N5" i="8" s="1"/>
  <c r="K4" i="8"/>
  <c r="O4" i="8" s="1"/>
  <c r="J4" i="8"/>
  <c r="N4" i="8" s="1"/>
  <c r="S4" i="8" s="1"/>
  <c r="I4" i="7"/>
  <c r="O4" i="7" s="1"/>
  <c r="S4" i="7" s="1"/>
  <c r="J4" i="6"/>
  <c r="I4" i="6"/>
  <c r="I4" i="5"/>
  <c r="J4" i="5"/>
  <c r="O4" i="4"/>
  <c r="J4" i="4"/>
  <c r="N4" i="4" s="1"/>
  <c r="I4" i="11"/>
  <c r="O4" i="11" s="1"/>
  <c r="J4" i="11"/>
  <c r="N4" i="11" s="1"/>
  <c r="O4" i="3"/>
  <c r="J4" i="3"/>
  <c r="N4" i="3" s="1"/>
  <c r="O4" i="2"/>
  <c r="J4" i="2"/>
  <c r="I4" i="1"/>
  <c r="O4" i="1" s="1"/>
  <c r="J3" i="9"/>
  <c r="N3" i="9" s="1"/>
  <c r="S3" i="9" s="1"/>
  <c r="I2" i="12"/>
  <c r="K2" i="12" s="1"/>
  <c r="O2" i="12" s="1"/>
  <c r="I3" i="12"/>
  <c r="K3" i="12" s="1"/>
  <c r="O3" i="12" s="1"/>
  <c r="S3" i="12" s="1"/>
  <c r="H2" i="12"/>
  <c r="J2" i="12" s="1"/>
  <c r="N2" i="12" s="1"/>
  <c r="I3" i="8"/>
  <c r="K3" i="8" s="1"/>
  <c r="O3" i="8" s="1"/>
  <c r="S3" i="8" s="1"/>
  <c r="I3" i="7"/>
  <c r="O3" i="7" s="1"/>
  <c r="S3" i="7" s="1"/>
  <c r="I3" i="6"/>
  <c r="O3" i="6" s="1"/>
  <c r="S3" i="6" s="1"/>
  <c r="O3" i="5"/>
  <c r="S3" i="5" s="1"/>
  <c r="J3" i="4"/>
  <c r="N3" i="4" s="1"/>
  <c r="S3" i="4" s="1"/>
  <c r="I2" i="11"/>
  <c r="O2" i="11" s="1"/>
  <c r="I3" i="11"/>
  <c r="H2" i="11"/>
  <c r="J2" i="11" s="1"/>
  <c r="N2" i="11" s="1"/>
  <c r="J3" i="3"/>
  <c r="N3" i="3" s="1"/>
  <c r="H3" i="2"/>
  <c r="J3" i="2" s="1"/>
  <c r="N3" i="2" s="1"/>
  <c r="S3" i="2" s="1"/>
  <c r="J3" i="1"/>
  <c r="N3" i="1" s="1"/>
  <c r="I2" i="9"/>
  <c r="K2" i="9" s="1"/>
  <c r="O2" i="9" s="1"/>
  <c r="J2" i="9"/>
  <c r="N2" i="9" s="1"/>
  <c r="I2" i="8"/>
  <c r="K2" i="8" s="1"/>
  <c r="O2" i="8" s="1"/>
  <c r="J2" i="8"/>
  <c r="N2" i="8" s="1"/>
  <c r="O2" i="7"/>
  <c r="S2" i="7" s="1"/>
  <c r="H2" i="6"/>
  <c r="J2" i="6" s="1"/>
  <c r="N2" i="6" s="1"/>
  <c r="O2" i="6"/>
  <c r="I2" i="5"/>
  <c r="J2" i="5"/>
  <c r="N2" i="5" s="1"/>
  <c r="J2" i="4"/>
  <c r="N2" i="4" s="1"/>
  <c r="S2" i="4" s="1"/>
  <c r="I2" i="3"/>
  <c r="K2" i="3" s="1"/>
  <c r="AC14" i="3" s="1"/>
  <c r="J2" i="3"/>
  <c r="N2" i="3" s="1"/>
  <c r="H2" i="2"/>
  <c r="J2" i="2" s="1"/>
  <c r="N2" i="2" s="1"/>
  <c r="I2" i="2"/>
  <c r="O2" i="2" s="1"/>
  <c r="V14" i="14" l="1"/>
  <c r="K20" i="14" s="1"/>
  <c r="V11" i="14"/>
  <c r="V12" i="14"/>
  <c r="V10" i="14"/>
  <c r="V13" i="14"/>
  <c r="K2" i="5"/>
  <c r="AC14" i="5" s="1"/>
  <c r="O3" i="11"/>
  <c r="S3" i="11" s="1"/>
  <c r="K5" i="3"/>
  <c r="AC17" i="3" s="1"/>
  <c r="O3" i="3"/>
  <c r="O2" i="3"/>
  <c r="K7" i="3"/>
  <c r="O7" i="3" s="1"/>
  <c r="S7" i="3" s="1"/>
  <c r="T8" i="1"/>
  <c r="J26" i="1" s="1"/>
  <c r="O5" i="11"/>
  <c r="S5" i="11" s="1"/>
  <c r="U5" i="11"/>
  <c r="U8" i="11" s="1"/>
  <c r="K26" i="11" s="1"/>
  <c r="K33" i="1" s="1"/>
  <c r="S5" i="5"/>
  <c r="O4" i="5"/>
  <c r="U4" i="5"/>
  <c r="U8" i="5" s="1"/>
  <c r="K26" i="5" s="1"/>
  <c r="K32" i="1" s="1"/>
  <c r="N4" i="5"/>
  <c r="T4" i="5"/>
  <c r="T8" i="5" s="1"/>
  <c r="J26" i="5" s="1"/>
  <c r="J32" i="1" s="1"/>
  <c r="N4" i="2"/>
  <c r="S4" i="2" s="1"/>
  <c r="T4" i="2"/>
  <c r="T8" i="2" s="1"/>
  <c r="J26" i="2" s="1"/>
  <c r="J30" i="1" s="1"/>
  <c r="S4" i="3"/>
  <c r="O7" i="1"/>
  <c r="S7" i="1" s="1"/>
  <c r="U7" i="1"/>
  <c r="U8" i="1" s="1"/>
  <c r="K26" i="1" s="1"/>
  <c r="O4" i="6"/>
  <c r="U4" i="6"/>
  <c r="U8" i="6" s="1"/>
  <c r="K26" i="6" s="1"/>
  <c r="K29" i="1" s="1"/>
  <c r="N4" i="6"/>
  <c r="T4" i="6"/>
  <c r="T8" i="6" s="1"/>
  <c r="J26" i="6" s="1"/>
  <c r="J29" i="1" s="1"/>
  <c r="O7" i="4"/>
  <c r="U7" i="4"/>
  <c r="U8" i="4" s="1"/>
  <c r="K26" i="4" s="1"/>
  <c r="K27" i="1" s="1"/>
  <c r="N7" i="4"/>
  <c r="T7" i="4"/>
  <c r="T8" i="4" s="1"/>
  <c r="J26" i="4" s="1"/>
  <c r="J27" i="1" s="1"/>
  <c r="S4" i="1"/>
  <c r="S6" i="1"/>
  <c r="G41" i="2"/>
  <c r="F41" i="2"/>
  <c r="F40" i="2"/>
  <c r="G40" i="2" s="1"/>
  <c r="S3" i="3"/>
  <c r="S7" i="2"/>
  <c r="S7" i="5"/>
  <c r="S5" i="4"/>
  <c r="S6" i="3"/>
  <c r="S5" i="2"/>
  <c r="S5" i="1"/>
  <c r="S3" i="13"/>
  <c r="S4" i="9"/>
  <c r="S6" i="8"/>
  <c r="S5" i="8"/>
  <c r="S4" i="5"/>
  <c r="S4" i="4"/>
  <c r="S4" i="11"/>
  <c r="S2" i="12"/>
  <c r="S2" i="11"/>
  <c r="S3" i="1"/>
  <c r="S2" i="9"/>
  <c r="S2" i="8"/>
  <c r="S2" i="6"/>
  <c r="S2" i="3"/>
  <c r="S2" i="2"/>
  <c r="V17" i="14" l="1"/>
  <c r="V31" i="14" s="1"/>
  <c r="A17" i="14"/>
  <c r="V27" i="14"/>
  <c r="A20" i="14"/>
  <c r="V30" i="14"/>
  <c r="I20" i="14"/>
  <c r="V21" i="14"/>
  <c r="I17" i="14"/>
  <c r="V35" i="14"/>
  <c r="V36" i="14" s="1"/>
  <c r="V18" i="14"/>
  <c r="V20" i="14" s="1"/>
  <c r="V22" i="14"/>
  <c r="V38" i="14"/>
  <c r="O2" i="5"/>
  <c r="S2" i="5" s="1"/>
  <c r="AC19" i="3"/>
  <c r="U7" i="3"/>
  <c r="U8" i="3" s="1"/>
  <c r="K26" i="3" s="1"/>
  <c r="K31" i="1" s="1"/>
  <c r="K35" i="1" s="1"/>
  <c r="O5" i="3"/>
  <c r="S5" i="3" s="1"/>
  <c r="J35" i="1"/>
  <c r="S4" i="6"/>
  <c r="S7" i="4"/>
  <c r="V34" i="14" l="1"/>
  <c r="V19" i="14"/>
  <c r="V23" i="14" s="1"/>
  <c r="V37" i="14"/>
  <c r="V25" i="14"/>
  <c r="V29" i="14" s="1"/>
  <c r="N20" i="14"/>
  <c r="I11" i="14" s="1"/>
  <c r="C17" i="14"/>
  <c r="F17" i="14" s="1"/>
  <c r="C20" i="14"/>
  <c r="F20" i="14" s="1"/>
  <c r="K17" i="14" l="1"/>
  <c r="N17" i="14" s="1"/>
  <c r="I9" i="14" s="1"/>
  <c r="I13" i="14" s="1"/>
</calcChain>
</file>

<file path=xl/sharedStrings.xml><?xml version="1.0" encoding="utf-8"?>
<sst xmlns="http://schemas.openxmlformats.org/spreadsheetml/2006/main" count="340" uniqueCount="64">
  <si>
    <t>KA01</t>
  </si>
  <si>
    <t>AC</t>
  </si>
  <si>
    <t>AP</t>
  </si>
  <si>
    <t>PREV</t>
  </si>
  <si>
    <t>IMP</t>
  </si>
  <si>
    <t>MEDIA</t>
  </si>
  <si>
    <t>MAX</t>
  </si>
  <si>
    <t>CIA</t>
  </si>
  <si>
    <t>NETTO</t>
  </si>
  <si>
    <t>NETTISSIMO</t>
  </si>
  <si>
    <t>KA03</t>
  </si>
  <si>
    <t>KA04</t>
  </si>
  <si>
    <t>KA05</t>
  </si>
  <si>
    <t>KA06</t>
  </si>
  <si>
    <t>RPD</t>
  </si>
  <si>
    <t>KA07</t>
  </si>
  <si>
    <t>KA08</t>
  </si>
  <si>
    <t>KD01</t>
  </si>
  <si>
    <t>KA10</t>
  </si>
  <si>
    <t>FASCIA</t>
  </si>
  <si>
    <t>KA09</t>
  </si>
  <si>
    <t>KD03</t>
  </si>
  <si>
    <t>K11</t>
  </si>
  <si>
    <t>CONTRI</t>
  </si>
  <si>
    <t>IMPN</t>
  </si>
  <si>
    <t>ALIQUOTA</t>
  </si>
  <si>
    <t>IRPEF</t>
  </si>
  <si>
    <t>MEIDA</t>
  </si>
  <si>
    <t>ALIQUOTA MEDIA</t>
  </si>
  <si>
    <t>ALIQUOTA MASSIMA</t>
  </si>
  <si>
    <t>ARRETRATI</t>
  </si>
  <si>
    <t>TOTALE ARRETRATI</t>
  </si>
  <si>
    <t>COLLABORATORI SCOLASTICI KA01</t>
  </si>
  <si>
    <t>DOCENTI SCUOLA INFANZIA E PRIMARIA KA05</t>
  </si>
  <si>
    <t>1) SCEGLIERE DAL MENU A TENDINA LA QUALIFICA</t>
  </si>
  <si>
    <t>DOCENTI SCUOLA SECONDARIA II GRADO KA08</t>
  </si>
  <si>
    <t>DOCENTI SCUOLA SECONDARIA I GRADO KA07</t>
  </si>
  <si>
    <t>2) SCEGLIERE DAL MENU A TENDINA LA FASCIA</t>
  </si>
  <si>
    <t>ASSISTENTI TECNICI E AMMINISTRATIVI KA03</t>
  </si>
  <si>
    <t>3) INSERIRE L'ALIQUOTA MEDIA RIPORTATA NEL CEDOLINO</t>
  </si>
  <si>
    <t>4) SCEGLIERE DAL MENU A TENDINA L'ALIQUOTA MASSIMA</t>
  </si>
  <si>
    <t>CCNL SCUOLA CALCOLO ARRETRATI PERSONALIZZATI</t>
  </si>
  <si>
    <t>ARRETRATI 2019</t>
  </si>
  <si>
    <t>LORDO PREV.</t>
  </si>
  <si>
    <t>IMPONIBILE</t>
  </si>
  <si>
    <t>ARRETRATI 2020</t>
  </si>
  <si>
    <t>COORDINATORI AMM.VI E TECNICI KA04</t>
  </si>
  <si>
    <t>ARRETRATI 2021</t>
  </si>
  <si>
    <t>ARRETRATI 2022</t>
  </si>
  <si>
    <t>INSEGNANTI TECNICO PRATICI KA06</t>
  </si>
  <si>
    <t>DSGA KA09</t>
  </si>
  <si>
    <t>Imp</t>
  </si>
  <si>
    <t>impo</t>
  </si>
  <si>
    <t>imponib</t>
  </si>
  <si>
    <t>impon</t>
  </si>
  <si>
    <t xml:space="preserve">https://www.facebook.com/groups/nonsolostipendi </t>
  </si>
  <si>
    <t>Duilio Mazzotti</t>
  </si>
  <si>
    <t>imp</t>
  </si>
  <si>
    <t>SEI IN PENSIONE?</t>
  </si>
  <si>
    <t>SI</t>
  </si>
  <si>
    <t>NO</t>
  </si>
  <si>
    <t>ore</t>
  </si>
  <si>
    <t>su</t>
  </si>
  <si>
    <t>VERSIONE 7.52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</si>
</sst>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8"/>
      <color theme="1"/>
      <name val="Coronet"/>
      <family val="4"/>
    </font>
    <font>
      <sz val="28"/>
      <color theme="1"/>
      <name val="Calibri"/>
      <family val="2"/>
      <scheme val="minor"/>
    </font>
    <font>
      <b/>
      <sz val="36"/>
      <color theme="10"/>
      <name val="Calibri"/>
      <family val="2"/>
      <scheme val="minor"/>
    </font>
    <font>
      <b/>
      <u/>
      <sz val="36"/>
      <color theme="10"/>
      <name val="Calibri"/>
      <family val="2"/>
      <scheme val="minor"/>
    </font>
    <font>
      <sz val="48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0" fillId="2" borderId="0" xfId="0" applyFill="1" applyAlignment="1">
      <alignment horizontal="center"/>
    </xf>
    <xf numFmtId="44" fontId="0" fillId="2" borderId="0" xfId="1" applyFont="1" applyFill="1"/>
    <xf numFmtId="0" fontId="0" fillId="3" borderId="0" xfId="0" applyFill="1" applyAlignment="1">
      <alignment horizontal="center"/>
    </xf>
    <xf numFmtId="44" fontId="0" fillId="3" borderId="0" xfId="1" applyFont="1" applyFill="1"/>
    <xf numFmtId="44" fontId="0" fillId="3" borderId="0" xfId="0" applyNumberFormat="1" applyFill="1"/>
    <xf numFmtId="44" fontId="0" fillId="2" borderId="0" xfId="0" applyNumberFormat="1" applyFill="1"/>
    <xf numFmtId="44" fontId="0" fillId="2" borderId="0" xfId="0" applyNumberFormat="1" applyFill="1" applyAlignment="1">
      <alignment horizontal="center"/>
    </xf>
    <xf numFmtId="44" fontId="0" fillId="3" borderId="0" xfId="0" applyNumberFormat="1" applyFill="1" applyAlignment="1">
      <alignment horizontal="center"/>
    </xf>
    <xf numFmtId="0" fontId="0" fillId="4" borderId="0" xfId="0" applyFill="1"/>
    <xf numFmtId="44" fontId="0" fillId="4" borderId="0" xfId="0" applyNumberFormat="1" applyFill="1"/>
    <xf numFmtId="0" fontId="2" fillId="0" borderId="0" xfId="0" applyFont="1"/>
    <xf numFmtId="44" fontId="0" fillId="0" borderId="0" xfId="0" applyNumberFormat="1"/>
    <xf numFmtId="17" fontId="0" fillId="2" borderId="0" xfId="0" applyNumberFormat="1" applyFill="1" applyAlignment="1">
      <alignment horizontal="center"/>
    </xf>
    <xf numFmtId="44" fontId="0" fillId="0" borderId="0" xfId="1" applyFont="1"/>
    <xf numFmtId="0" fontId="9" fillId="0" borderId="0" xfId="2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2" applyFont="1" applyAlignment="1">
      <alignment horizontal="center" vertical="center"/>
    </xf>
    <xf numFmtId="14" fontId="2" fillId="0" borderId="0" xfId="0" applyNumberFormat="1" applyFont="1"/>
    <xf numFmtId="0" fontId="2" fillId="2" borderId="0" xfId="0" applyFont="1" applyFill="1"/>
    <xf numFmtId="0" fontId="14" fillId="0" borderId="0" xfId="2" applyFont="1" applyAlignment="1">
      <alignment horizontal="center" vertical="center"/>
    </xf>
    <xf numFmtId="0" fontId="14" fillId="2" borderId="0" xfId="2" applyFont="1" applyFill="1" applyAlignment="1" applyProtection="1">
      <alignment horizontal="center" vertical="center"/>
      <protection locked="0"/>
    </xf>
    <xf numFmtId="0" fontId="14" fillId="2" borderId="0" xfId="2" applyFont="1" applyFill="1" applyAlignment="1" applyProtection="1">
      <alignment horizontal="left" vertical="center"/>
      <protection locked="0"/>
    </xf>
    <xf numFmtId="0" fontId="13" fillId="2" borderId="0" xfId="2" applyFont="1" applyFill="1" applyAlignment="1" applyProtection="1">
      <alignment horizontal="center" vertical="center"/>
      <protection locked="0"/>
    </xf>
    <xf numFmtId="44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44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7" borderId="0" xfId="0" applyFont="1" applyFill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10" borderId="1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44" fontId="3" fillId="7" borderId="0" xfId="0" applyNumberFormat="1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5" borderId="0" xfId="0" applyFont="1" applyFill="1" applyAlignment="1" applyProtection="1">
      <alignment horizontal="center"/>
      <protection locked="0"/>
    </xf>
    <xf numFmtId="0" fontId="9" fillId="0" borderId="0" xfId="2" applyAlignment="1">
      <alignment horizontal="center" vertical="center"/>
    </xf>
    <xf numFmtId="0" fontId="12" fillId="0" borderId="0" xfId="2" applyFont="1" applyAlignment="1">
      <alignment horizontal="center" vertical="center"/>
    </xf>
    <xf numFmtId="14" fontId="12" fillId="2" borderId="0" xfId="2" applyNumberFormat="1" applyFont="1" applyFill="1" applyAlignment="1" applyProtection="1">
      <alignment horizontal="center" vertical="center"/>
      <protection locked="0"/>
    </xf>
    <xf numFmtId="0" fontId="2" fillId="11" borderId="1" xfId="0" applyFont="1" applyFill="1" applyBorder="1" applyAlignment="1">
      <alignment horizontal="center" vertical="center"/>
    </xf>
    <xf numFmtId="44" fontId="2" fillId="11" borderId="1" xfId="0" applyNumberFormat="1" applyFont="1" applyFill="1" applyBorder="1" applyAlignment="1">
      <alignment horizontal="center" vertical="center"/>
    </xf>
    <xf numFmtId="44" fontId="2" fillId="10" borderId="1" xfId="0" applyNumberFormat="1" applyFont="1" applyFill="1" applyBorder="1" applyAlignment="1">
      <alignment horizontal="center" vertical="center"/>
    </xf>
    <xf numFmtId="44" fontId="2" fillId="11" borderId="2" xfId="0" applyNumberFormat="1" applyFont="1" applyFill="1" applyBorder="1" applyAlignment="1">
      <alignment horizontal="center" vertical="center"/>
    </xf>
    <xf numFmtId="44" fontId="2" fillId="11" borderId="3" xfId="0" applyNumberFormat="1" applyFont="1" applyFill="1" applyBorder="1" applyAlignment="1">
      <alignment horizontal="center" vertical="center"/>
    </xf>
    <xf numFmtId="0" fontId="6" fillId="8" borderId="0" xfId="0" applyFont="1" applyFill="1" applyAlignment="1" applyProtection="1">
      <alignment horizontal="left"/>
      <protection locked="0"/>
    </xf>
    <xf numFmtId="0" fontId="8" fillId="8" borderId="0" xfId="0" applyFont="1" applyFill="1" applyAlignment="1" applyProtection="1">
      <alignment horizontal="left"/>
      <protection locked="0"/>
    </xf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acebook.com/groups/nonsolostipendi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D356-3958-45B5-B6DF-19EA9FD94006}">
  <dimension ref="A1:AO38"/>
  <sheetViews>
    <sheetView tabSelected="1" workbookViewId="0">
      <selection activeCell="G7" sqref="G7:H8"/>
    </sheetView>
  </sheetViews>
  <sheetFormatPr defaultRowHeight="31.5" x14ac:dyDescent="0.5"/>
  <cols>
    <col min="1" max="1" width="9.28515625" style="11" customWidth="1"/>
    <col min="2" max="2" width="17.42578125" style="11" customWidth="1"/>
    <col min="3" max="7" width="9.140625" style="11"/>
    <col min="8" max="8" width="14.85546875" style="11" customWidth="1"/>
    <col min="9" max="9" width="12.7109375" style="11" customWidth="1"/>
    <col min="10" max="10" width="16.5703125" style="11" customWidth="1"/>
    <col min="11" max="12" width="9.140625" style="11"/>
    <col min="13" max="13" width="24.85546875" style="11" bestFit="1" customWidth="1"/>
    <col min="14" max="14" width="11.85546875" style="11" bestFit="1" customWidth="1"/>
    <col min="15" max="15" width="12.140625" style="11" customWidth="1"/>
    <col min="16" max="16" width="30.85546875" style="11" customWidth="1"/>
    <col min="17" max="19" width="9.140625" style="11"/>
    <col min="20" max="20" width="0" style="11" hidden="1" customWidth="1"/>
    <col min="21" max="21" width="10.7109375" style="11" hidden="1" customWidth="1"/>
    <col min="22" max="22" width="23.7109375" style="11" hidden="1" customWidth="1"/>
    <col min="23" max="25" width="0" style="11" hidden="1" customWidth="1"/>
    <col min="26" max="26" width="24.7109375" style="11" hidden="1" customWidth="1"/>
    <col min="27" max="27" width="3.85546875" style="11" hidden="1" customWidth="1"/>
    <col min="28" max="53" width="0" style="11" hidden="1" customWidth="1"/>
    <col min="54" max="16384" width="9.140625" style="11"/>
  </cols>
  <sheetData>
    <row r="1" spans="1:41" x14ac:dyDescent="0.5">
      <c r="A1" s="39" t="s">
        <v>41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AM1" s="11">
        <v>1</v>
      </c>
      <c r="AO1" s="11">
        <v>18</v>
      </c>
    </row>
    <row r="2" spans="1:41" x14ac:dyDescent="0.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V2" s="11" t="s">
        <v>59</v>
      </c>
      <c r="AM2" s="11">
        <v>2</v>
      </c>
      <c r="AO2" s="11">
        <v>24</v>
      </c>
    </row>
    <row r="3" spans="1:41" x14ac:dyDescent="0.5">
      <c r="A3" s="41" t="s">
        <v>55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V3" s="11" t="s">
        <v>60</v>
      </c>
      <c r="AM3" s="11">
        <v>3</v>
      </c>
      <c r="AO3" s="11">
        <v>25</v>
      </c>
    </row>
    <row r="4" spans="1:41" ht="61.5" x14ac:dyDescent="0.5">
      <c r="A4" s="42" t="s">
        <v>58</v>
      </c>
      <c r="B4" s="42"/>
      <c r="C4" s="42"/>
      <c r="D4" s="42"/>
      <c r="E4" s="42"/>
      <c r="F4" s="24" t="s">
        <v>60</v>
      </c>
      <c r="G4" s="15"/>
      <c r="H4" s="18" t="str">
        <f>IF(F4="SI","DAL","")</f>
        <v/>
      </c>
      <c r="I4" s="43"/>
      <c r="J4" s="43"/>
      <c r="K4" s="43"/>
      <c r="L4" s="43"/>
      <c r="M4" s="21" t="s">
        <v>61</v>
      </c>
      <c r="N4" s="22">
        <v>25</v>
      </c>
      <c r="O4" s="21" t="s">
        <v>62</v>
      </c>
      <c r="P4" s="23">
        <v>25</v>
      </c>
      <c r="W4" s="11">
        <v>23</v>
      </c>
      <c r="X4" s="11">
        <v>0</v>
      </c>
      <c r="Z4" s="11" t="s">
        <v>32</v>
      </c>
      <c r="AM4" s="11">
        <v>4</v>
      </c>
      <c r="AO4" s="11">
        <v>30</v>
      </c>
    </row>
    <row r="5" spans="1:41" x14ac:dyDescent="0.5">
      <c r="A5" s="40" t="s">
        <v>33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31"/>
      <c r="V5" s="19">
        <v>43709</v>
      </c>
      <c r="W5" s="11">
        <v>25</v>
      </c>
      <c r="X5" s="11">
        <v>9</v>
      </c>
      <c r="Z5" s="11" t="s">
        <v>38</v>
      </c>
      <c r="AM5" s="11">
        <v>5</v>
      </c>
      <c r="AO5" s="11">
        <v>36</v>
      </c>
    </row>
    <row r="6" spans="1:41" x14ac:dyDescent="0.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31"/>
      <c r="V6" s="19">
        <v>44075</v>
      </c>
      <c r="W6" s="11">
        <v>35</v>
      </c>
      <c r="X6" s="11">
        <v>15</v>
      </c>
      <c r="Z6" s="11" t="s">
        <v>46</v>
      </c>
      <c r="AM6" s="11">
        <v>6</v>
      </c>
    </row>
    <row r="7" spans="1:41" x14ac:dyDescent="0.5">
      <c r="A7" s="36" t="s">
        <v>19</v>
      </c>
      <c r="B7" s="36"/>
      <c r="C7" s="36"/>
      <c r="D7" s="36"/>
      <c r="E7" s="36"/>
      <c r="F7" s="36"/>
      <c r="G7" s="34">
        <v>0</v>
      </c>
      <c r="H7" s="34"/>
      <c r="I7" s="36" t="s">
        <v>30</v>
      </c>
      <c r="J7" s="36"/>
      <c r="K7" s="36"/>
      <c r="L7" s="36"/>
      <c r="M7" s="36"/>
      <c r="N7" s="36"/>
      <c r="O7" s="36"/>
      <c r="P7" s="36"/>
      <c r="V7" s="19">
        <v>44440</v>
      </c>
      <c r="X7" s="11">
        <v>21</v>
      </c>
      <c r="Z7" s="11" t="s">
        <v>33</v>
      </c>
      <c r="AM7" s="11">
        <v>7</v>
      </c>
    </row>
    <row r="8" spans="1:41" x14ac:dyDescent="0.5">
      <c r="A8" s="36"/>
      <c r="B8" s="36"/>
      <c r="C8" s="36"/>
      <c r="D8" s="36"/>
      <c r="E8" s="36"/>
      <c r="F8" s="36"/>
      <c r="G8" s="34"/>
      <c r="H8" s="34"/>
      <c r="I8" s="36"/>
      <c r="J8" s="36"/>
      <c r="K8" s="36"/>
      <c r="L8" s="36"/>
      <c r="M8" s="36"/>
      <c r="N8" s="36"/>
      <c r="O8" s="36"/>
      <c r="P8" s="36"/>
      <c r="V8" s="19">
        <v>44805</v>
      </c>
      <c r="X8" s="11">
        <v>28</v>
      </c>
      <c r="Z8" s="11" t="s">
        <v>49</v>
      </c>
      <c r="AM8" s="11">
        <v>8</v>
      </c>
    </row>
    <row r="9" spans="1:41" x14ac:dyDescent="0.5">
      <c r="A9" s="32" t="s">
        <v>28</v>
      </c>
      <c r="B9" s="32"/>
      <c r="C9" s="32"/>
      <c r="D9" s="32"/>
      <c r="E9" s="32"/>
      <c r="F9" s="32"/>
      <c r="G9" s="33">
        <v>23.5</v>
      </c>
      <c r="H9" s="33"/>
      <c r="I9" s="37">
        <f>F17+N17+F20</f>
        <v>489.74524267499999</v>
      </c>
      <c r="J9" s="38"/>
      <c r="K9" s="38"/>
      <c r="L9" s="38"/>
      <c r="M9" s="38"/>
      <c r="N9" s="38"/>
      <c r="O9" s="38"/>
      <c r="P9" s="38"/>
      <c r="X9" s="11">
        <v>35</v>
      </c>
      <c r="Z9" s="11" t="s">
        <v>36</v>
      </c>
      <c r="AM9" s="11">
        <v>9</v>
      </c>
    </row>
    <row r="10" spans="1:41" x14ac:dyDescent="0.5">
      <c r="A10" s="32"/>
      <c r="B10" s="32"/>
      <c r="C10" s="32"/>
      <c r="D10" s="32"/>
      <c r="E10" s="32"/>
      <c r="F10" s="32"/>
      <c r="G10" s="33"/>
      <c r="H10" s="33"/>
      <c r="I10" s="38"/>
      <c r="J10" s="38"/>
      <c r="K10" s="38"/>
      <c r="L10" s="38"/>
      <c r="M10" s="38"/>
      <c r="N10" s="38"/>
      <c r="O10" s="38"/>
      <c r="P10" s="38"/>
      <c r="V10" s="27">
        <f>'ka01'!$V$35</f>
        <v>98.120000000000019</v>
      </c>
      <c r="W10" s="28"/>
      <c r="Z10" s="11" t="s">
        <v>35</v>
      </c>
      <c r="AM10" s="11">
        <v>10</v>
      </c>
    </row>
    <row r="11" spans="1:41" x14ac:dyDescent="0.5">
      <c r="A11" s="32" t="s">
        <v>29</v>
      </c>
      <c r="B11" s="32"/>
      <c r="C11" s="32"/>
      <c r="D11" s="32"/>
      <c r="E11" s="32"/>
      <c r="F11" s="32"/>
      <c r="G11" s="34">
        <v>25</v>
      </c>
      <c r="H11" s="34"/>
      <c r="I11" s="37">
        <f>N20</f>
        <v>525.73734375000004</v>
      </c>
      <c r="J11" s="38"/>
      <c r="K11" s="38"/>
      <c r="L11" s="38"/>
      <c r="M11" s="38"/>
      <c r="N11" s="38"/>
      <c r="O11" s="38"/>
      <c r="P11" s="38"/>
      <c r="V11" s="25">
        <f>'ka01'!$W$35</f>
        <v>220.34999999999997</v>
      </c>
      <c r="W11" s="26"/>
      <c r="Z11" s="11" t="s">
        <v>50</v>
      </c>
      <c r="AM11" s="11">
        <v>11</v>
      </c>
    </row>
    <row r="12" spans="1:41" x14ac:dyDescent="0.5">
      <c r="A12" s="32"/>
      <c r="B12" s="32"/>
      <c r="C12" s="32"/>
      <c r="D12" s="32"/>
      <c r="E12" s="32"/>
      <c r="F12" s="32"/>
      <c r="G12" s="34"/>
      <c r="H12" s="34"/>
      <c r="I12" s="38"/>
      <c r="J12" s="38"/>
      <c r="K12" s="38"/>
      <c r="L12" s="38"/>
      <c r="M12" s="38"/>
      <c r="N12" s="38"/>
      <c r="O12" s="38"/>
      <c r="P12" s="38"/>
      <c r="V12" s="46">
        <f>'ka01'!$X$35</f>
        <v>410.1</v>
      </c>
      <c r="W12" s="35"/>
      <c r="AM12" s="11">
        <v>12</v>
      </c>
    </row>
    <row r="13" spans="1:41" x14ac:dyDescent="0.5">
      <c r="A13" s="29" t="s">
        <v>31</v>
      </c>
      <c r="B13" s="29"/>
      <c r="C13" s="29"/>
      <c r="D13" s="29"/>
      <c r="E13" s="29"/>
      <c r="F13" s="29"/>
      <c r="G13" s="29"/>
      <c r="H13" s="29"/>
      <c r="I13" s="30">
        <f>I9+I11</f>
        <v>1015.482586425</v>
      </c>
      <c r="J13" s="29"/>
      <c r="K13" s="29"/>
      <c r="L13" s="29"/>
      <c r="M13" s="29"/>
      <c r="N13" s="29"/>
      <c r="O13" s="29"/>
      <c r="P13" s="29"/>
      <c r="V13" s="45">
        <f>'ka01'!$Y$35</f>
        <v>786.25</v>
      </c>
      <c r="W13" s="44"/>
      <c r="AM13" s="11">
        <v>13</v>
      </c>
    </row>
    <row r="14" spans="1:41" x14ac:dyDescent="0.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V14" s="47">
        <f>'ka01'!$Z$35</f>
        <v>700.98312499999997</v>
      </c>
      <c r="W14" s="48"/>
      <c r="AM14" s="11">
        <v>14</v>
      </c>
    </row>
    <row r="15" spans="1:41" ht="34.5" customHeight="1" x14ac:dyDescent="0.5">
      <c r="A15" s="28" t="s">
        <v>42</v>
      </c>
      <c r="B15" s="28"/>
      <c r="C15" s="28"/>
      <c r="D15" s="28"/>
      <c r="E15" s="28"/>
      <c r="F15" s="28"/>
      <c r="G15" s="28"/>
      <c r="H15" s="28"/>
      <c r="I15" s="26" t="s">
        <v>45</v>
      </c>
      <c r="J15" s="26"/>
      <c r="K15" s="26"/>
      <c r="L15" s="26"/>
      <c r="M15" s="26"/>
      <c r="N15" s="26"/>
      <c r="O15" s="26"/>
      <c r="P15" s="26"/>
      <c r="AM15" s="11">
        <v>15</v>
      </c>
    </row>
    <row r="16" spans="1:41" ht="34.5" customHeight="1" x14ac:dyDescent="0.5">
      <c r="A16" s="28" t="s">
        <v>43</v>
      </c>
      <c r="B16" s="28"/>
      <c r="C16" s="28" t="s">
        <v>44</v>
      </c>
      <c r="D16" s="28"/>
      <c r="E16" s="28"/>
      <c r="F16" s="28" t="s">
        <v>8</v>
      </c>
      <c r="G16" s="28"/>
      <c r="H16" s="28"/>
      <c r="I16" s="26" t="s">
        <v>43</v>
      </c>
      <c r="J16" s="26"/>
      <c r="K16" s="26" t="s">
        <v>44</v>
      </c>
      <c r="L16" s="26"/>
      <c r="M16" s="26"/>
      <c r="N16" s="26" t="s">
        <v>8</v>
      </c>
      <c r="O16" s="26"/>
      <c r="P16" s="26"/>
      <c r="AM16" s="11">
        <v>16</v>
      </c>
    </row>
    <row r="17" spans="1:39" ht="34.5" customHeight="1" x14ac:dyDescent="0.5">
      <c r="A17" s="27">
        <f>IF(F4="no",V10,V37)*N4/P4</f>
        <v>98.120000000000019</v>
      </c>
      <c r="B17" s="28"/>
      <c r="C17" s="27">
        <f>A17*(100-11.15)/100</f>
        <v>87.179620000000014</v>
      </c>
      <c r="D17" s="28"/>
      <c r="E17" s="28"/>
      <c r="F17" s="27">
        <f>C17*(100-G9)/100</f>
        <v>66.692409300000008</v>
      </c>
      <c r="G17" s="28"/>
      <c r="H17" s="28"/>
      <c r="I17" s="25">
        <f>IF(F4="NO",V11,V23)*N4/P4</f>
        <v>220.34999999999997</v>
      </c>
      <c r="J17" s="26"/>
      <c r="K17" s="25">
        <f>I17*(100-11.15)/100</f>
        <v>195.78097499999996</v>
      </c>
      <c r="L17" s="26"/>
      <c r="M17" s="26"/>
      <c r="N17" s="25">
        <f>K17*(100-G9)/100</f>
        <v>149.77244587499996</v>
      </c>
      <c r="O17" s="26"/>
      <c r="P17" s="26"/>
      <c r="U17" s="11">
        <v>2019</v>
      </c>
      <c r="V17" s="11">
        <f>IF(I4=V5,V10*8/12,1)</f>
        <v>1</v>
      </c>
      <c r="AM17" s="11">
        <v>17</v>
      </c>
    </row>
    <row r="18" spans="1:39" ht="34.5" customHeight="1" x14ac:dyDescent="0.5">
      <c r="A18" s="35" t="s">
        <v>47</v>
      </c>
      <c r="B18" s="35"/>
      <c r="C18" s="35"/>
      <c r="D18" s="35"/>
      <c r="E18" s="35"/>
      <c r="F18" s="35"/>
      <c r="G18" s="35"/>
      <c r="H18" s="35"/>
      <c r="I18" s="44" t="s">
        <v>48</v>
      </c>
      <c r="J18" s="44"/>
      <c r="K18" s="44"/>
      <c r="L18" s="44"/>
      <c r="M18" s="44"/>
      <c r="N18" s="44"/>
      <c r="O18" s="44"/>
      <c r="P18" s="44"/>
      <c r="U18" s="11">
        <v>2020</v>
      </c>
      <c r="V18" s="11">
        <f>IF($I$4=V6,V11*8/12,0)</f>
        <v>0</v>
      </c>
      <c r="AM18" s="11">
        <v>18</v>
      </c>
    </row>
    <row r="19" spans="1:39" ht="34.5" customHeight="1" x14ac:dyDescent="0.5">
      <c r="A19" s="35" t="s">
        <v>43</v>
      </c>
      <c r="B19" s="35"/>
      <c r="C19" s="35" t="s">
        <v>44</v>
      </c>
      <c r="D19" s="35"/>
      <c r="E19" s="35"/>
      <c r="F19" s="35" t="s">
        <v>8</v>
      </c>
      <c r="G19" s="35"/>
      <c r="H19" s="35"/>
      <c r="I19" s="44" t="s">
        <v>43</v>
      </c>
      <c r="J19" s="44"/>
      <c r="K19" s="44" t="s">
        <v>44</v>
      </c>
      <c r="L19" s="44"/>
      <c r="M19" s="44"/>
      <c r="N19" s="44" t="s">
        <v>8</v>
      </c>
      <c r="O19" s="44"/>
      <c r="P19" s="44"/>
      <c r="U19" s="11">
        <v>2020</v>
      </c>
      <c r="V19" s="11">
        <f>IF(V17&lt;V10,0,1)</f>
        <v>0</v>
      </c>
      <c r="AM19" s="11">
        <v>19</v>
      </c>
    </row>
    <row r="20" spans="1:39" ht="34.5" customHeight="1" x14ac:dyDescent="0.5">
      <c r="A20" s="46">
        <f>IF(F4="no",V12,V29)*N4/P4</f>
        <v>410.1</v>
      </c>
      <c r="B20" s="35"/>
      <c r="C20" s="46">
        <f>A20*(100-11.15)/100</f>
        <v>364.37385</v>
      </c>
      <c r="D20" s="35"/>
      <c r="E20" s="35"/>
      <c r="F20" s="46">
        <f>C20*(100-G11)/100</f>
        <v>273.28038750000002</v>
      </c>
      <c r="G20" s="35"/>
      <c r="H20" s="35"/>
      <c r="I20" s="45">
        <f>IF(F4="NO",V13,V34)*N4/P4</f>
        <v>786.25</v>
      </c>
      <c r="J20" s="44"/>
      <c r="K20" s="45">
        <f>IF(F4="NO",V14,V36)*N4/P4</f>
        <v>700.98312499999997</v>
      </c>
      <c r="L20" s="44"/>
      <c r="M20" s="44"/>
      <c r="N20" s="45">
        <f>K20*(100-G11)/100</f>
        <v>525.73734375000004</v>
      </c>
      <c r="O20" s="44"/>
      <c r="P20" s="44"/>
      <c r="U20" s="11">
        <v>2020</v>
      </c>
      <c r="V20" s="11">
        <f>IF(V18&lt;V11,0,V11)</f>
        <v>0</v>
      </c>
      <c r="AM20" s="11">
        <v>20</v>
      </c>
    </row>
    <row r="21" spans="1:39" x14ac:dyDescent="0.5">
      <c r="A21" s="31" t="s">
        <v>63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U21" s="11">
        <v>2020</v>
      </c>
      <c r="V21" s="11">
        <f>IF($I$4=$V7,$V$11,0)</f>
        <v>0</v>
      </c>
      <c r="AM21" s="11">
        <v>21</v>
      </c>
    </row>
    <row r="22" spans="1:39" x14ac:dyDescent="0.5">
      <c r="A22" s="11" t="s">
        <v>34</v>
      </c>
      <c r="U22" s="11">
        <v>2020</v>
      </c>
      <c r="V22" s="11">
        <f>IF($I$4=$V8,$V$11,0)</f>
        <v>0</v>
      </c>
      <c r="AM22" s="11">
        <v>22</v>
      </c>
    </row>
    <row r="23" spans="1:39" x14ac:dyDescent="0.5">
      <c r="A23" s="11" t="s">
        <v>37</v>
      </c>
      <c r="U23" s="11">
        <v>2020</v>
      </c>
      <c r="V23" s="11">
        <f>SUM(V18:V22)</f>
        <v>0</v>
      </c>
      <c r="AM23" s="11">
        <v>23</v>
      </c>
    </row>
    <row r="24" spans="1:39" x14ac:dyDescent="0.5">
      <c r="A24" s="11" t="s">
        <v>39</v>
      </c>
      <c r="U24" s="11">
        <v>2021</v>
      </c>
      <c r="V24" s="11">
        <f>IF($I$4=V7,V12*8/12,0)</f>
        <v>0</v>
      </c>
      <c r="AM24" s="11">
        <v>24</v>
      </c>
    </row>
    <row r="25" spans="1:39" ht="36" x14ac:dyDescent="0.55000000000000004">
      <c r="A25" s="11" t="s">
        <v>40</v>
      </c>
      <c r="M25" s="16" t="s">
        <v>56</v>
      </c>
      <c r="N25" s="17"/>
      <c r="O25" s="17"/>
      <c r="U25" s="11">
        <v>2021</v>
      </c>
      <c r="V25" s="11">
        <f>IF($V$17&lt;$V$11,0,1)</f>
        <v>0</v>
      </c>
      <c r="AM25" s="11">
        <v>25</v>
      </c>
    </row>
    <row r="26" spans="1:39" x14ac:dyDescent="0.5">
      <c r="U26" s="11">
        <v>2021</v>
      </c>
      <c r="V26" s="11">
        <f>IF($I$4=$V$7,0,0)</f>
        <v>0</v>
      </c>
      <c r="AM26" s="11">
        <v>26</v>
      </c>
    </row>
    <row r="27" spans="1:39" x14ac:dyDescent="0.5">
      <c r="U27" s="11">
        <v>2021</v>
      </c>
      <c r="V27" s="11">
        <f>IF($I$4=V8,V12,0)</f>
        <v>0</v>
      </c>
      <c r="AM27" s="11">
        <v>27</v>
      </c>
    </row>
    <row r="28" spans="1:39" x14ac:dyDescent="0.5">
      <c r="U28" s="11">
        <v>2021</v>
      </c>
      <c r="V28" s="11">
        <f>IF(I4=V5,0,0)</f>
        <v>0</v>
      </c>
      <c r="AM28" s="11">
        <v>28</v>
      </c>
    </row>
    <row r="29" spans="1:39" x14ac:dyDescent="0.5">
      <c r="U29" s="11">
        <v>2021</v>
      </c>
      <c r="V29" s="11">
        <f>V24+V25+V26+V27+V28</f>
        <v>0</v>
      </c>
      <c r="AM29" s="11">
        <v>29</v>
      </c>
    </row>
    <row r="30" spans="1:39" x14ac:dyDescent="0.5">
      <c r="U30" s="11">
        <v>2022</v>
      </c>
      <c r="V30" s="11">
        <f>IF($I$4=V8,V13*8/12,0)</f>
        <v>0</v>
      </c>
      <c r="AM30" s="11">
        <v>30</v>
      </c>
    </row>
    <row r="31" spans="1:39" x14ac:dyDescent="0.5">
      <c r="U31" s="11">
        <v>2022</v>
      </c>
      <c r="V31" s="11">
        <f>IF($V$17&lt;$V$11,0,1)</f>
        <v>0</v>
      </c>
      <c r="AM31" s="11">
        <v>31</v>
      </c>
    </row>
    <row r="32" spans="1:39" x14ac:dyDescent="0.5">
      <c r="U32" s="11">
        <v>2022</v>
      </c>
      <c r="V32" s="11">
        <f>IF($I$4=$V$7,0,0)</f>
        <v>0</v>
      </c>
      <c r="AM32" s="11">
        <v>32</v>
      </c>
    </row>
    <row r="33" spans="21:39" x14ac:dyDescent="0.5">
      <c r="U33" s="11">
        <v>2022</v>
      </c>
      <c r="V33" s="11">
        <f>IF($I$4=$V$8,0,0)</f>
        <v>0</v>
      </c>
      <c r="AM33" s="11">
        <v>33</v>
      </c>
    </row>
    <row r="34" spans="21:39" x14ac:dyDescent="0.5">
      <c r="U34" s="11">
        <v>2022</v>
      </c>
      <c r="V34" s="11">
        <f>V30+V31+V32+V33</f>
        <v>0</v>
      </c>
      <c r="AM34" s="11">
        <v>34</v>
      </c>
    </row>
    <row r="35" spans="21:39" x14ac:dyDescent="0.5">
      <c r="U35" s="20">
        <v>2022</v>
      </c>
      <c r="V35" s="20">
        <f>IF($I$4=V8,V14*8/12,0)</f>
        <v>0</v>
      </c>
      <c r="AM35" s="11">
        <v>35</v>
      </c>
    </row>
    <row r="36" spans="21:39" x14ac:dyDescent="0.5">
      <c r="U36" s="11">
        <v>2022</v>
      </c>
      <c r="V36" s="11">
        <f>V35</f>
        <v>0</v>
      </c>
      <c r="AM36" s="11">
        <v>36</v>
      </c>
    </row>
    <row r="37" spans="21:39" x14ac:dyDescent="0.5">
      <c r="U37" s="11">
        <v>2019</v>
      </c>
      <c r="V37" s="11">
        <f>IF($I$4&gt;V5,V10,V17)</f>
        <v>1</v>
      </c>
    </row>
    <row r="38" spans="21:39" x14ac:dyDescent="0.5">
      <c r="U38" s="11">
        <v>2020</v>
      </c>
      <c r="V38" s="11">
        <f>IF($I$4&gt;V5&lt;V7,V18,V11)</f>
        <v>220.34999999999997</v>
      </c>
    </row>
  </sheetData>
  <sheetProtection algorithmName="SHA-512" hashValue="1es15vHtssOJGC7c2uCQqw7qJbWgcblOK8ODtY0H4dyvBzCyuver8GuFhnecnxy/bpZD/ivQnIdTEybEwB5pSA==" saltValue="bb7+UekAXHLMApQPrynr+A==" spinCount="100000" sheet="1" objects="1" scenarios="1"/>
  <mergeCells count="51">
    <mergeCell ref="V10:W10"/>
    <mergeCell ref="V11:W11"/>
    <mergeCell ref="V12:W12"/>
    <mergeCell ref="V13:W13"/>
    <mergeCell ref="V14:W14"/>
    <mergeCell ref="N20:P20"/>
    <mergeCell ref="A20:B20"/>
    <mergeCell ref="C20:E20"/>
    <mergeCell ref="F20:H20"/>
    <mergeCell ref="I20:J20"/>
    <mergeCell ref="K20:M20"/>
    <mergeCell ref="I18:P18"/>
    <mergeCell ref="A19:B19"/>
    <mergeCell ref="C19:E19"/>
    <mergeCell ref="F19:H19"/>
    <mergeCell ref="I19:J19"/>
    <mergeCell ref="K19:M19"/>
    <mergeCell ref="N19:P19"/>
    <mergeCell ref="Q5:Q6"/>
    <mergeCell ref="I7:P8"/>
    <mergeCell ref="I9:P10"/>
    <mergeCell ref="I11:P12"/>
    <mergeCell ref="A1:P2"/>
    <mergeCell ref="A5:P6"/>
    <mergeCell ref="A7:F8"/>
    <mergeCell ref="G7:H8"/>
    <mergeCell ref="A3:P3"/>
    <mergeCell ref="A4:E4"/>
    <mergeCell ref="I4:L4"/>
    <mergeCell ref="A13:H14"/>
    <mergeCell ref="I13:P14"/>
    <mergeCell ref="A21:P21"/>
    <mergeCell ref="A9:F10"/>
    <mergeCell ref="G9:H10"/>
    <mergeCell ref="A11:F12"/>
    <mergeCell ref="G11:H12"/>
    <mergeCell ref="A16:B16"/>
    <mergeCell ref="F16:H16"/>
    <mergeCell ref="A15:H15"/>
    <mergeCell ref="C16:E16"/>
    <mergeCell ref="I15:P15"/>
    <mergeCell ref="I16:J16"/>
    <mergeCell ref="K16:M16"/>
    <mergeCell ref="N16:P16"/>
    <mergeCell ref="A18:H18"/>
    <mergeCell ref="N17:P17"/>
    <mergeCell ref="A17:B17"/>
    <mergeCell ref="C17:E17"/>
    <mergeCell ref="F17:H17"/>
    <mergeCell ref="I17:J17"/>
    <mergeCell ref="K17:M17"/>
  </mergeCells>
  <phoneticPr fontId="7" type="noConversion"/>
  <dataValidations count="7">
    <dataValidation type="list" allowBlank="1" showInputMessage="1" showErrorMessage="1" sqref="F4" xr:uid="{25C4C26D-C61F-418C-897E-B9F579783F92}">
      <formula1>$V$2:$V$3</formula1>
    </dataValidation>
    <dataValidation type="list" allowBlank="1" showInputMessage="1" showErrorMessage="1" sqref="I4:L4" xr:uid="{7953745F-DA38-4632-B6AE-758A00256B65}">
      <formula1>$V$4:$V$8</formula1>
    </dataValidation>
    <dataValidation type="list" allowBlank="1" showInputMessage="1" showErrorMessage="1" sqref="A5:P6" xr:uid="{E0C7607F-CBE1-4056-BD96-9E605DCE7300}">
      <formula1>$Z$3:$Z$11</formula1>
    </dataValidation>
    <dataValidation type="list" allowBlank="1" showInputMessage="1" showErrorMessage="1" sqref="G11:H12" xr:uid="{5CAA7F3A-876B-4883-8209-02B571DAD4EA}">
      <formula1>$W$3:$W$6</formula1>
    </dataValidation>
    <dataValidation type="list" allowBlank="1" showInputMessage="1" showErrorMessage="1" sqref="G7:H8" xr:uid="{F04574CC-F3C4-418F-B402-C7919F7CDAA2}">
      <formula1>$X$3:$X$9</formula1>
    </dataValidation>
    <dataValidation type="list" allowBlank="1" showInputMessage="1" showErrorMessage="1" sqref="N4" xr:uid="{47BD6EA6-217B-42E7-ACE8-902D796B1689}">
      <formula1>$AM$1:$AM$36</formula1>
    </dataValidation>
    <dataValidation type="list" allowBlank="1" showInputMessage="1" showErrorMessage="1" sqref="P4" xr:uid="{AFEF76E1-5518-4B53-84DF-3919D058B6C6}">
      <formula1>$AO$1:$AO$5</formula1>
    </dataValidation>
  </dataValidations>
  <hyperlinks>
    <hyperlink ref="A3" r:id="rId1" xr:uid="{3AFBD65B-2DBE-4BD0-9F73-B299F08A4464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1D927-1BA2-4BBB-B988-BDDF3DFB9606}">
  <dimension ref="A1:S6"/>
  <sheetViews>
    <sheetView workbookViewId="0">
      <selection activeCell="S6" sqref="S6"/>
    </sheetView>
  </sheetViews>
  <sheetFormatPr defaultRowHeight="15" x14ac:dyDescent="0.25"/>
  <cols>
    <col min="6" max="6" width="11" bestFit="1" customWidth="1"/>
    <col min="10" max="10" width="11" bestFit="1" customWidth="1"/>
    <col min="14" max="14" width="11" bestFit="1" customWidth="1"/>
    <col min="19" max="19" width="11.7109375" bestFit="1" customWidth="1"/>
  </cols>
  <sheetData>
    <row r="1" spans="1:19" x14ac:dyDescent="0.25">
      <c r="B1" s="1">
        <v>2019</v>
      </c>
      <c r="C1" s="1">
        <v>2020</v>
      </c>
      <c r="D1" s="1">
        <v>2021</v>
      </c>
      <c r="E1" s="3">
        <v>2022</v>
      </c>
      <c r="F1" s="1" t="s">
        <v>2</v>
      </c>
      <c r="G1" s="3" t="s">
        <v>1</v>
      </c>
      <c r="H1" s="1" t="s">
        <v>3</v>
      </c>
      <c r="I1" s="3" t="s">
        <v>3</v>
      </c>
      <c r="J1" s="1" t="s">
        <v>4</v>
      </c>
      <c r="K1" s="3" t="s">
        <v>4</v>
      </c>
      <c r="L1" s="1" t="s">
        <v>5</v>
      </c>
      <c r="M1" s="3" t="s">
        <v>6</v>
      </c>
      <c r="N1" s="1" t="s">
        <v>5</v>
      </c>
      <c r="O1" s="3" t="s">
        <v>6</v>
      </c>
      <c r="P1" s="3" t="s">
        <v>7</v>
      </c>
      <c r="Q1" s="3" t="s">
        <v>4</v>
      </c>
      <c r="R1" s="3" t="s">
        <v>8</v>
      </c>
      <c r="S1" s="9" t="s">
        <v>9</v>
      </c>
    </row>
    <row r="2" spans="1:19" x14ac:dyDescent="0.25">
      <c r="A2" t="s">
        <v>17</v>
      </c>
      <c r="B2" s="2">
        <v>17.100000000000001</v>
      </c>
      <c r="C2" s="2">
        <v>28.1</v>
      </c>
      <c r="D2" s="2">
        <v>50</v>
      </c>
      <c r="E2" s="4">
        <f>D2</f>
        <v>50</v>
      </c>
      <c r="F2" s="2">
        <f>(B2+C2+D2)*13</f>
        <v>1237.6000000000001</v>
      </c>
      <c r="G2" s="4">
        <f>E2*13</f>
        <v>650</v>
      </c>
      <c r="H2" s="2">
        <f t="shared" ref="H2:I4" si="0">F2*11.15%</f>
        <v>137.9924</v>
      </c>
      <c r="I2" s="5">
        <f t="shared" si="0"/>
        <v>72.474999999999994</v>
      </c>
      <c r="J2" s="6">
        <f t="shared" ref="J2:K4" si="1">F2-H2</f>
        <v>1099.6076</v>
      </c>
      <c r="K2" s="5">
        <f t="shared" si="1"/>
        <v>577.52499999999998</v>
      </c>
      <c r="L2" s="1">
        <v>23</v>
      </c>
      <c r="M2" s="3">
        <v>25</v>
      </c>
      <c r="N2" s="7">
        <f t="shared" ref="N2:O4" si="2">J2*(100-L2)/100</f>
        <v>846.69785200000001</v>
      </c>
      <c r="O2" s="8">
        <f t="shared" si="2"/>
        <v>433.14375000000001</v>
      </c>
      <c r="P2" s="4">
        <f>5.8*12</f>
        <v>69.599999999999994</v>
      </c>
      <c r="Q2" s="5">
        <f>P2*(100-9.15)/100</f>
        <v>63.231599999999986</v>
      </c>
      <c r="R2" s="5">
        <f>Q2*(100-M2)/100</f>
        <v>47.42369999999999</v>
      </c>
      <c r="S2" s="10">
        <f>N2+O2+R2</f>
        <v>1327.265302</v>
      </c>
    </row>
    <row r="3" spans="1:19" x14ac:dyDescent="0.25">
      <c r="A3">
        <v>3</v>
      </c>
      <c r="B3" s="2">
        <v>17.399999999999999</v>
      </c>
      <c r="C3" s="2">
        <v>28.6</v>
      </c>
      <c r="D3" s="2">
        <v>51</v>
      </c>
      <c r="E3" s="4">
        <f>D3</f>
        <v>51</v>
      </c>
      <c r="F3" s="2">
        <f>(B3+C3+D3)*13</f>
        <v>1261</v>
      </c>
      <c r="G3" s="4">
        <f>E3*13</f>
        <v>663</v>
      </c>
      <c r="H3" s="2">
        <f t="shared" si="0"/>
        <v>140.60150000000002</v>
      </c>
      <c r="I3" s="5">
        <f t="shared" si="0"/>
        <v>73.924499999999995</v>
      </c>
      <c r="J3" s="6">
        <f t="shared" si="1"/>
        <v>1120.3985</v>
      </c>
      <c r="K3" s="5">
        <f t="shared" si="1"/>
        <v>589.07550000000003</v>
      </c>
      <c r="L3" s="1">
        <v>23.53</v>
      </c>
      <c r="M3" s="3">
        <v>25</v>
      </c>
      <c r="N3" s="7">
        <f t="shared" si="2"/>
        <v>856.76873294999996</v>
      </c>
      <c r="O3" s="8">
        <f t="shared" si="2"/>
        <v>441.80662500000005</v>
      </c>
      <c r="P3" s="4">
        <f>5.8*12</f>
        <v>69.599999999999994</v>
      </c>
      <c r="Q3" s="5">
        <f>P3*(100-9.15)/100</f>
        <v>63.231599999999986</v>
      </c>
      <c r="R3" s="5">
        <f>Q3*(100-M3)/100</f>
        <v>47.42369999999999</v>
      </c>
      <c r="S3" s="10">
        <f>N3+O3+R3</f>
        <v>1345.9990579500002</v>
      </c>
    </row>
    <row r="4" spans="1:19" x14ac:dyDescent="0.25">
      <c r="A4">
        <v>9</v>
      </c>
      <c r="B4" s="2">
        <v>18.600000000000001</v>
      </c>
      <c r="C4" s="2">
        <v>30.6</v>
      </c>
      <c r="D4" s="2">
        <v>54</v>
      </c>
      <c r="E4" s="4">
        <f>D4</f>
        <v>54</v>
      </c>
      <c r="F4" s="2">
        <f>(B4+C4+D4)*13</f>
        <v>1341.6000000000001</v>
      </c>
      <c r="G4" s="4">
        <f>E4*13</f>
        <v>702</v>
      </c>
      <c r="H4" s="2">
        <f t="shared" si="0"/>
        <v>149.58840000000001</v>
      </c>
      <c r="I4" s="5">
        <f t="shared" si="0"/>
        <v>78.272999999999996</v>
      </c>
      <c r="J4" s="6">
        <f t="shared" si="1"/>
        <v>1192.0116</v>
      </c>
      <c r="K4" s="5">
        <f t="shared" si="1"/>
        <v>623.72699999999998</v>
      </c>
      <c r="L4" s="1">
        <v>23.53</v>
      </c>
      <c r="M4" s="3">
        <v>25</v>
      </c>
      <c r="N4" s="7">
        <f t="shared" si="2"/>
        <v>911.53127051999991</v>
      </c>
      <c r="O4" s="8">
        <f t="shared" si="2"/>
        <v>467.79525000000001</v>
      </c>
      <c r="P4" s="4">
        <f>5.8*12</f>
        <v>69.599999999999994</v>
      </c>
      <c r="Q4" s="5">
        <f>P4*(100-9.15)/100</f>
        <v>63.231599999999986</v>
      </c>
      <c r="R4" s="5">
        <f>Q4*(100-M4)/100</f>
        <v>47.42369999999999</v>
      </c>
      <c r="S4" s="10">
        <f>N4+O4+R4</f>
        <v>1426.7502205200001</v>
      </c>
    </row>
    <row r="5" spans="1:19" x14ac:dyDescent="0.25">
      <c r="A5">
        <v>15</v>
      </c>
      <c r="B5" s="2">
        <v>19.7</v>
      </c>
      <c r="C5" s="2">
        <v>32.5</v>
      </c>
      <c r="D5" s="2">
        <v>57</v>
      </c>
      <c r="E5" s="4">
        <f t="shared" ref="E5:E6" si="3">D5</f>
        <v>57</v>
      </c>
      <c r="F5" s="2">
        <f t="shared" ref="F5:F6" si="4">(B5+C5+D5)*13</f>
        <v>1419.6000000000001</v>
      </c>
      <c r="G5" s="4">
        <f t="shared" ref="G5:G6" si="5">E5*13</f>
        <v>741</v>
      </c>
      <c r="H5" s="2">
        <f t="shared" ref="H5:H6" si="6">F5*11.15%</f>
        <v>158.28540000000001</v>
      </c>
      <c r="I5" s="5">
        <f t="shared" ref="I5:I6" si="7">G5*11.15%</f>
        <v>82.621499999999997</v>
      </c>
      <c r="J5" s="6">
        <f t="shared" ref="J5:J6" si="8">F5-H5</f>
        <v>1261.3146000000002</v>
      </c>
      <c r="K5" s="5">
        <f t="shared" ref="K5:K6" si="9">G5-I5</f>
        <v>658.37850000000003</v>
      </c>
      <c r="L5" s="1">
        <v>23.53</v>
      </c>
      <c r="M5" s="3">
        <v>25</v>
      </c>
      <c r="N5" s="7">
        <f t="shared" ref="N5:N6" si="10">J5*(100-L5)/100</f>
        <v>964.52727462000007</v>
      </c>
      <c r="O5" s="8">
        <f t="shared" ref="O5:O6" si="11">K5*(100-M5)/100</f>
        <v>493.78387500000002</v>
      </c>
      <c r="P5" s="4">
        <f t="shared" ref="P5:P6" si="12">5.8*12</f>
        <v>69.599999999999994</v>
      </c>
      <c r="Q5" s="5">
        <f t="shared" ref="Q5:Q6" si="13">P5*(100-9.15)/100</f>
        <v>63.231599999999986</v>
      </c>
      <c r="R5" s="5">
        <f t="shared" ref="R5:R6" si="14">Q5*(100-M5)/100</f>
        <v>47.42369999999999</v>
      </c>
      <c r="S5" s="10">
        <f t="shared" ref="S5:S6" si="15">N5+O5+R5</f>
        <v>1505.7348496200002</v>
      </c>
    </row>
    <row r="6" spans="1:19" x14ac:dyDescent="0.25">
      <c r="A6">
        <v>21</v>
      </c>
      <c r="B6" s="2">
        <v>20.8</v>
      </c>
      <c r="C6" s="2">
        <v>34.200000000000003</v>
      </c>
      <c r="D6" s="2">
        <v>60</v>
      </c>
      <c r="E6" s="4">
        <f t="shared" si="3"/>
        <v>60</v>
      </c>
      <c r="F6" s="2">
        <f t="shared" si="4"/>
        <v>1495</v>
      </c>
      <c r="G6" s="4">
        <f t="shared" si="5"/>
        <v>780</v>
      </c>
      <c r="H6" s="2">
        <f t="shared" si="6"/>
        <v>166.6925</v>
      </c>
      <c r="I6" s="5">
        <f t="shared" si="7"/>
        <v>86.97</v>
      </c>
      <c r="J6" s="6">
        <f t="shared" si="8"/>
        <v>1328.3074999999999</v>
      </c>
      <c r="K6" s="5">
        <f t="shared" si="9"/>
        <v>693.03</v>
      </c>
      <c r="L6" s="1">
        <v>23.53</v>
      </c>
      <c r="M6" s="3">
        <v>25</v>
      </c>
      <c r="N6" s="7">
        <f t="shared" si="10"/>
        <v>1015.75674525</v>
      </c>
      <c r="O6" s="8">
        <f t="shared" si="11"/>
        <v>519.77250000000004</v>
      </c>
      <c r="P6" s="4">
        <f t="shared" si="12"/>
        <v>69.599999999999994</v>
      </c>
      <c r="Q6" s="5">
        <f t="shared" si="13"/>
        <v>63.231599999999986</v>
      </c>
      <c r="R6" s="5">
        <f t="shared" si="14"/>
        <v>47.42369999999999</v>
      </c>
      <c r="S6" s="10">
        <f t="shared" si="15"/>
        <v>1582.9529452500001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857C7-B238-4AF3-B978-0E3F7468E5C5}">
  <dimension ref="A1:S4"/>
  <sheetViews>
    <sheetView workbookViewId="0">
      <selection activeCell="K4" sqref="K4"/>
    </sheetView>
  </sheetViews>
  <sheetFormatPr defaultRowHeight="15" x14ac:dyDescent="0.25"/>
  <cols>
    <col min="6" max="6" width="11" bestFit="1" customWidth="1"/>
    <col min="10" max="10" width="11" bestFit="1" customWidth="1"/>
    <col min="14" max="14" width="11" bestFit="1" customWidth="1"/>
    <col min="19" max="19" width="11.7109375" bestFit="1" customWidth="1"/>
  </cols>
  <sheetData>
    <row r="1" spans="1:19" x14ac:dyDescent="0.25">
      <c r="B1" s="1">
        <v>2019</v>
      </c>
      <c r="C1" s="1">
        <v>2020</v>
      </c>
      <c r="D1" s="1">
        <v>2021</v>
      </c>
      <c r="E1" s="3">
        <v>2022</v>
      </c>
      <c r="F1" s="1" t="s">
        <v>2</v>
      </c>
      <c r="G1" s="3" t="s">
        <v>1</v>
      </c>
      <c r="H1" s="1" t="s">
        <v>3</v>
      </c>
      <c r="I1" s="3" t="s">
        <v>3</v>
      </c>
      <c r="J1" s="1" t="s">
        <v>4</v>
      </c>
      <c r="K1" s="3" t="s">
        <v>4</v>
      </c>
      <c r="L1" s="1" t="s">
        <v>5</v>
      </c>
      <c r="M1" s="3" t="s">
        <v>6</v>
      </c>
      <c r="N1" s="1" t="s">
        <v>5</v>
      </c>
      <c r="O1" s="3" t="s">
        <v>6</v>
      </c>
      <c r="P1" s="3" t="s">
        <v>7</v>
      </c>
      <c r="Q1" s="3" t="s">
        <v>4</v>
      </c>
      <c r="R1" s="3" t="s">
        <v>8</v>
      </c>
      <c r="S1" s="9" t="s">
        <v>9</v>
      </c>
    </row>
    <row r="2" spans="1:19" x14ac:dyDescent="0.25">
      <c r="A2" t="s">
        <v>21</v>
      </c>
      <c r="B2" s="2">
        <v>19.100000000000001</v>
      </c>
      <c r="C2" s="2">
        <v>31.5</v>
      </c>
      <c r="D2" s="2">
        <v>56</v>
      </c>
      <c r="E2" s="4">
        <f>D2</f>
        <v>56</v>
      </c>
      <c r="F2" s="2">
        <f>(B2+C2+D2)*13</f>
        <v>1385.8</v>
      </c>
      <c r="G2" s="4">
        <f>E2*13</f>
        <v>728</v>
      </c>
      <c r="H2" s="2">
        <f t="shared" ref="H2:I4" si="0">F2*11.15%</f>
        <v>154.51669999999999</v>
      </c>
      <c r="I2" s="5">
        <f t="shared" si="0"/>
        <v>81.171999999999997</v>
      </c>
      <c r="J2" s="6">
        <f t="shared" ref="J2:K4" si="1">F2-H2</f>
        <v>1231.2833000000001</v>
      </c>
      <c r="K2" s="5">
        <f t="shared" si="1"/>
        <v>646.82799999999997</v>
      </c>
      <c r="L2" s="1">
        <v>24</v>
      </c>
      <c r="M2" s="3">
        <v>25</v>
      </c>
      <c r="N2" s="7">
        <f t="shared" ref="N2:O4" si="2">J2*(100-L2)/100</f>
        <v>935.77530800000011</v>
      </c>
      <c r="O2" s="8">
        <f t="shared" si="2"/>
        <v>485.12099999999998</v>
      </c>
      <c r="P2" s="4">
        <f>5.8*12</f>
        <v>69.599999999999994</v>
      </c>
      <c r="Q2" s="5">
        <f>P2*(100-9.15)/100</f>
        <v>63.231599999999986</v>
      </c>
      <c r="R2" s="5">
        <f>Q2*(100-M2)/100</f>
        <v>47.42369999999999</v>
      </c>
      <c r="S2" s="10">
        <f>N2+O2+R2</f>
        <v>1468.3200080000001</v>
      </c>
    </row>
    <row r="3" spans="1:19" x14ac:dyDescent="0.25">
      <c r="A3">
        <v>3</v>
      </c>
      <c r="B3" s="2">
        <v>19.600000000000001</v>
      </c>
      <c r="C3" s="2">
        <v>32.200000000000003</v>
      </c>
      <c r="D3" s="2">
        <v>57</v>
      </c>
      <c r="E3" s="4">
        <f>D3</f>
        <v>57</v>
      </c>
      <c r="F3" s="2">
        <f>(B3+C3+D3)*13</f>
        <v>1414.4</v>
      </c>
      <c r="G3" s="4">
        <f>E3*13</f>
        <v>741</v>
      </c>
      <c r="H3" s="2">
        <f t="shared" si="0"/>
        <v>157.7056</v>
      </c>
      <c r="I3" s="5">
        <f t="shared" si="0"/>
        <v>82.621499999999997</v>
      </c>
      <c r="J3" s="6">
        <f t="shared" si="1"/>
        <v>1256.6944000000001</v>
      </c>
      <c r="K3" s="5">
        <f t="shared" si="1"/>
        <v>658.37850000000003</v>
      </c>
      <c r="L3" s="1">
        <v>24</v>
      </c>
      <c r="M3" s="3">
        <v>25</v>
      </c>
      <c r="N3" s="7">
        <f t="shared" si="2"/>
        <v>955.08774400000004</v>
      </c>
      <c r="O3" s="8">
        <f t="shared" si="2"/>
        <v>493.78387500000002</v>
      </c>
      <c r="P3" s="4">
        <f>5.8*12</f>
        <v>69.599999999999994</v>
      </c>
      <c r="Q3" s="5">
        <f>P3*(100-9.15)/100</f>
        <v>63.231599999999986</v>
      </c>
      <c r="R3" s="5">
        <f>Q3*(100-M3)/100</f>
        <v>47.42369999999999</v>
      </c>
      <c r="S3" s="10">
        <f>N3+O3+R3</f>
        <v>1496.2953190000001</v>
      </c>
    </row>
    <row r="4" spans="1:19" x14ac:dyDescent="0.25">
      <c r="A4">
        <v>9</v>
      </c>
      <c r="B4" s="2">
        <v>21.1</v>
      </c>
      <c r="C4" s="2">
        <v>34.700000000000003</v>
      </c>
      <c r="D4" s="2">
        <v>61</v>
      </c>
      <c r="E4" s="4">
        <f>D4</f>
        <v>61</v>
      </c>
      <c r="F4" s="2">
        <f>(B4+C4+D4)*13</f>
        <v>1518.4</v>
      </c>
      <c r="G4" s="4">
        <f>E4*13</f>
        <v>793</v>
      </c>
      <c r="H4" s="2">
        <f t="shared" si="0"/>
        <v>169.30160000000001</v>
      </c>
      <c r="I4" s="5">
        <f t="shared" si="0"/>
        <v>88.419499999999999</v>
      </c>
      <c r="J4" s="6">
        <f t="shared" si="1"/>
        <v>1349.0984000000001</v>
      </c>
      <c r="K4" s="5">
        <f t="shared" si="1"/>
        <v>704.58050000000003</v>
      </c>
      <c r="L4" s="1">
        <v>24</v>
      </c>
      <c r="M4" s="3">
        <v>25</v>
      </c>
      <c r="N4" s="7">
        <f t="shared" si="2"/>
        <v>1025.3147840000001</v>
      </c>
      <c r="O4" s="8">
        <f t="shared" si="2"/>
        <v>528.43537500000002</v>
      </c>
      <c r="P4" s="4">
        <f>5.8*12</f>
        <v>69.599999999999994</v>
      </c>
      <c r="Q4" s="5">
        <f>P4*(100-9.15)/100</f>
        <v>63.231599999999986</v>
      </c>
      <c r="R4" s="5">
        <f>Q4*(100-M4)/100</f>
        <v>47.42369999999999</v>
      </c>
      <c r="S4" s="10">
        <f>N4+O4+R4</f>
        <v>1601.1738590000002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220F0-DE00-496F-B880-B47AF77E3142}">
  <dimension ref="A1:S4"/>
  <sheetViews>
    <sheetView workbookViewId="0">
      <selection activeCell="D2" sqref="D2"/>
    </sheetView>
  </sheetViews>
  <sheetFormatPr defaultRowHeight="15" x14ac:dyDescent="0.25"/>
  <cols>
    <col min="6" max="7" width="11" bestFit="1" customWidth="1"/>
    <col min="10" max="10" width="11" bestFit="1" customWidth="1"/>
    <col min="14" max="14" width="11" bestFit="1" customWidth="1"/>
    <col min="19" max="19" width="11.7109375" bestFit="1" customWidth="1"/>
  </cols>
  <sheetData>
    <row r="1" spans="1:19" x14ac:dyDescent="0.25">
      <c r="B1" s="1">
        <v>2019</v>
      </c>
      <c r="C1" s="1">
        <v>2020</v>
      </c>
      <c r="D1" s="1">
        <v>2021</v>
      </c>
      <c r="E1" s="3">
        <v>2022</v>
      </c>
      <c r="F1" s="1" t="s">
        <v>2</v>
      </c>
      <c r="G1" s="3" t="s">
        <v>1</v>
      </c>
      <c r="H1" s="1" t="s">
        <v>3</v>
      </c>
      <c r="I1" s="3" t="s">
        <v>3</v>
      </c>
      <c r="J1" s="1" t="s">
        <v>4</v>
      </c>
      <c r="K1" s="3" t="s">
        <v>4</v>
      </c>
      <c r="L1" s="1" t="s">
        <v>5</v>
      </c>
      <c r="M1" s="3" t="s">
        <v>6</v>
      </c>
      <c r="N1" s="1" t="s">
        <v>5</v>
      </c>
      <c r="O1" s="3" t="s">
        <v>6</v>
      </c>
      <c r="P1" s="3" t="s">
        <v>14</v>
      </c>
      <c r="Q1" s="3" t="s">
        <v>4</v>
      </c>
      <c r="R1" s="3" t="s">
        <v>8</v>
      </c>
      <c r="S1" s="9" t="s">
        <v>9</v>
      </c>
    </row>
    <row r="2" spans="1:19" x14ac:dyDescent="0.25">
      <c r="A2" t="s">
        <v>22</v>
      </c>
      <c r="B2" s="2">
        <v>23.8</v>
      </c>
      <c r="C2" s="2">
        <v>39.200000000000003</v>
      </c>
      <c r="D2" s="2">
        <v>84</v>
      </c>
      <c r="E2" s="4">
        <f>D2</f>
        <v>84</v>
      </c>
      <c r="F2" s="2">
        <f>(B2+C2+D2)*13</f>
        <v>1911</v>
      </c>
      <c r="G2" s="4">
        <f>E2*13</f>
        <v>1092</v>
      </c>
      <c r="H2" s="2">
        <f t="shared" ref="H2:I4" si="0">F2*11.15%</f>
        <v>213.07650000000001</v>
      </c>
      <c r="I2" s="5">
        <f t="shared" si="0"/>
        <v>121.758</v>
      </c>
      <c r="J2" s="6">
        <f t="shared" ref="J2:K4" si="1">F2-H2</f>
        <v>1697.9234999999999</v>
      </c>
      <c r="K2" s="5">
        <f t="shared" si="1"/>
        <v>970.24199999999996</v>
      </c>
      <c r="L2" s="1">
        <v>24</v>
      </c>
      <c r="M2" s="3">
        <v>25</v>
      </c>
      <c r="N2" s="7">
        <f t="shared" ref="N2:O4" si="2">J2*(100-L2)/100</f>
        <v>1290.4218599999999</v>
      </c>
      <c r="O2" s="8">
        <f t="shared" si="2"/>
        <v>727.68149999999991</v>
      </c>
      <c r="P2" s="4">
        <f>10*12</f>
        <v>120</v>
      </c>
      <c r="Q2" s="5">
        <f>P2*(100-9.15)/100</f>
        <v>109.02</v>
      </c>
      <c r="R2" s="5">
        <f>Q2*(100-M2)/100</f>
        <v>81.765000000000001</v>
      </c>
      <c r="S2" s="10">
        <f>N2+O2+R2</f>
        <v>2099.8683599999999</v>
      </c>
    </row>
    <row r="3" spans="1:19" x14ac:dyDescent="0.25">
      <c r="A3">
        <v>3</v>
      </c>
      <c r="B3" s="2">
        <v>25.2</v>
      </c>
      <c r="C3" s="2">
        <v>41.4</v>
      </c>
      <c r="D3" s="2">
        <v>87</v>
      </c>
      <c r="E3" s="4">
        <f>D3</f>
        <v>87</v>
      </c>
      <c r="F3" s="2">
        <f>(B3+C3+D3)*13</f>
        <v>1996.8</v>
      </c>
      <c r="G3" s="4">
        <f>E3*13</f>
        <v>1131</v>
      </c>
      <c r="H3" s="2">
        <f t="shared" si="0"/>
        <v>222.64320000000001</v>
      </c>
      <c r="I3" s="5">
        <f t="shared" si="0"/>
        <v>126.1065</v>
      </c>
      <c r="J3" s="6">
        <f t="shared" si="1"/>
        <v>1774.1568</v>
      </c>
      <c r="K3" s="5">
        <f t="shared" si="1"/>
        <v>1004.8935</v>
      </c>
      <c r="L3" s="1">
        <v>24</v>
      </c>
      <c r="M3" s="3">
        <v>25</v>
      </c>
      <c r="N3" s="7">
        <f t="shared" si="2"/>
        <v>1348.359168</v>
      </c>
      <c r="O3" s="8">
        <f t="shared" si="2"/>
        <v>753.67012499999998</v>
      </c>
      <c r="P3" s="4">
        <f>10*12</f>
        <v>120</v>
      </c>
      <c r="Q3" s="5">
        <f>P3*(100-9.15)/100</f>
        <v>109.02</v>
      </c>
      <c r="R3" s="5">
        <f>Q3*(100-M3)/100</f>
        <v>81.765000000000001</v>
      </c>
      <c r="S3" s="10">
        <f>N3+O3+R3</f>
        <v>2183.7942929999999</v>
      </c>
    </row>
    <row r="4" spans="1:19" x14ac:dyDescent="0.25">
      <c r="A4">
        <v>9</v>
      </c>
      <c r="B4" s="2">
        <v>27.3</v>
      </c>
      <c r="C4" s="2">
        <v>44.9</v>
      </c>
      <c r="D4" s="2">
        <v>96</v>
      </c>
      <c r="E4" s="4">
        <f>D4</f>
        <v>96</v>
      </c>
      <c r="F4" s="2">
        <f>(B4+C4+D4)*13</f>
        <v>2186.6</v>
      </c>
      <c r="G4" s="4">
        <f>E4*13</f>
        <v>1248</v>
      </c>
      <c r="H4" s="2">
        <f t="shared" si="0"/>
        <v>243.80589999999998</v>
      </c>
      <c r="I4" s="5">
        <f t="shared" si="0"/>
        <v>139.15200000000002</v>
      </c>
      <c r="J4" s="6">
        <f t="shared" si="1"/>
        <v>1942.7940999999998</v>
      </c>
      <c r="K4" s="5">
        <f t="shared" si="1"/>
        <v>1108.848</v>
      </c>
      <c r="L4" s="1">
        <v>24</v>
      </c>
      <c r="M4" s="3">
        <v>25</v>
      </c>
      <c r="N4" s="7">
        <f t="shared" si="2"/>
        <v>1476.523516</v>
      </c>
      <c r="O4" s="8">
        <f t="shared" si="2"/>
        <v>831.63599999999997</v>
      </c>
      <c r="P4" s="4">
        <f>10*12</f>
        <v>120</v>
      </c>
      <c r="Q4" s="5">
        <f>P4*(100-9.15)/100</f>
        <v>109.02</v>
      </c>
      <c r="R4" s="5">
        <f>Q4*(100-M4)/100</f>
        <v>81.765000000000001</v>
      </c>
      <c r="S4" s="10">
        <f>N4+O4+R4</f>
        <v>2389.9245159999996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4EA7C-086A-47D4-8193-42DE2A85A96E}">
  <dimension ref="A1:S4"/>
  <sheetViews>
    <sheetView workbookViewId="0">
      <selection sqref="A1:S4"/>
    </sheetView>
  </sheetViews>
  <sheetFormatPr defaultRowHeight="15" x14ac:dyDescent="0.25"/>
  <cols>
    <col min="6" max="7" width="11" bestFit="1" customWidth="1"/>
    <col min="10" max="11" width="11" bestFit="1" customWidth="1"/>
    <col min="14" max="14" width="11" bestFit="1" customWidth="1"/>
    <col min="19" max="19" width="11.7109375" bestFit="1" customWidth="1"/>
  </cols>
  <sheetData>
    <row r="1" spans="1:19" x14ac:dyDescent="0.25">
      <c r="B1" s="1">
        <v>2019</v>
      </c>
      <c r="C1" s="1">
        <v>2020</v>
      </c>
      <c r="D1" s="1">
        <v>2021</v>
      </c>
      <c r="E1" s="3">
        <v>2022</v>
      </c>
      <c r="F1" s="1" t="s">
        <v>2</v>
      </c>
      <c r="G1" s="3" t="s">
        <v>1</v>
      </c>
      <c r="H1" s="1" t="s">
        <v>3</v>
      </c>
      <c r="I1" s="3" t="s">
        <v>3</v>
      </c>
      <c r="J1" s="1" t="s">
        <v>4</v>
      </c>
      <c r="K1" s="3" t="s">
        <v>4</v>
      </c>
      <c r="L1" s="1" t="s">
        <v>5</v>
      </c>
      <c r="M1" s="3" t="s">
        <v>6</v>
      </c>
      <c r="N1" s="1" t="s">
        <v>5</v>
      </c>
      <c r="O1" s="3" t="s">
        <v>6</v>
      </c>
      <c r="P1" s="3" t="s">
        <v>14</v>
      </c>
      <c r="Q1" s="3" t="s">
        <v>4</v>
      </c>
      <c r="R1" s="3" t="s">
        <v>8</v>
      </c>
      <c r="S1" s="9" t="s">
        <v>9</v>
      </c>
    </row>
    <row r="2" spans="1:19" x14ac:dyDescent="0.25">
      <c r="A2" t="s">
        <v>18</v>
      </c>
      <c r="B2" s="2">
        <v>28.8</v>
      </c>
      <c r="C2" s="2">
        <v>47.4</v>
      </c>
      <c r="D2" s="2">
        <v>84</v>
      </c>
      <c r="E2" s="4">
        <f>D2</f>
        <v>84</v>
      </c>
      <c r="F2" s="2">
        <f>(B2+C2+D2)*13</f>
        <v>2082.6</v>
      </c>
      <c r="G2" s="4">
        <f>E2*13</f>
        <v>1092</v>
      </c>
      <c r="H2" s="2">
        <f t="shared" ref="H2:I4" si="0">F2*11.15%</f>
        <v>232.2099</v>
      </c>
      <c r="I2" s="5">
        <f t="shared" si="0"/>
        <v>121.758</v>
      </c>
      <c r="J2" s="6">
        <f t="shared" ref="J2:K4" si="1">F2-H2</f>
        <v>1850.3900999999998</v>
      </c>
      <c r="K2" s="5">
        <f t="shared" si="1"/>
        <v>970.24199999999996</v>
      </c>
      <c r="L2" s="1">
        <v>24</v>
      </c>
      <c r="M2" s="3">
        <v>25</v>
      </c>
      <c r="N2" s="7">
        <f t="shared" ref="N2:O4" si="2">J2*(100-L2)/100</f>
        <v>1406.296476</v>
      </c>
      <c r="O2" s="8">
        <f t="shared" si="2"/>
        <v>727.68149999999991</v>
      </c>
      <c r="P2" s="4">
        <f>10*12</f>
        <v>120</v>
      </c>
      <c r="Q2" s="5">
        <f>P2*(100-9.15)/100</f>
        <v>109.02</v>
      </c>
      <c r="R2" s="5">
        <f>Q2*(100-M2)/100</f>
        <v>81.765000000000001</v>
      </c>
      <c r="S2" s="10">
        <f>N2+O2+R2</f>
        <v>2215.742976</v>
      </c>
    </row>
    <row r="3" spans="1:19" x14ac:dyDescent="0.25">
      <c r="A3">
        <v>3</v>
      </c>
      <c r="B3" s="2">
        <v>29.8</v>
      </c>
      <c r="C3" s="2">
        <v>49.1</v>
      </c>
      <c r="D3" s="2">
        <v>87</v>
      </c>
      <c r="E3" s="4">
        <f>D3</f>
        <v>87</v>
      </c>
      <c r="F3" s="2">
        <f>(B3+C3+D3)*13</f>
        <v>2156.7000000000003</v>
      </c>
      <c r="G3" s="4">
        <f>E3*13</f>
        <v>1131</v>
      </c>
      <c r="H3" s="2">
        <f t="shared" si="0"/>
        <v>240.47205000000002</v>
      </c>
      <c r="I3" s="5">
        <f t="shared" si="0"/>
        <v>126.1065</v>
      </c>
      <c r="J3" s="6">
        <f t="shared" si="1"/>
        <v>1916.2279500000002</v>
      </c>
      <c r="K3" s="5">
        <f t="shared" si="1"/>
        <v>1004.8935</v>
      </c>
      <c r="L3" s="1">
        <v>24</v>
      </c>
      <c r="M3" s="3">
        <v>25</v>
      </c>
      <c r="N3" s="7">
        <f t="shared" si="2"/>
        <v>1456.3332419999999</v>
      </c>
      <c r="O3" s="8">
        <f t="shared" si="2"/>
        <v>753.67012499999998</v>
      </c>
      <c r="P3" s="4">
        <f>10*12</f>
        <v>120</v>
      </c>
      <c r="Q3" s="5">
        <f>P3*(100-9.15)/100</f>
        <v>109.02</v>
      </c>
      <c r="R3" s="5">
        <f>Q3*(100-M3)/100</f>
        <v>81.765000000000001</v>
      </c>
      <c r="S3" s="10">
        <f>N3+O3+R3</f>
        <v>2291.7683669999997</v>
      </c>
    </row>
    <row r="4" spans="1:19" x14ac:dyDescent="0.25">
      <c r="A4">
        <v>9</v>
      </c>
      <c r="B4" s="2">
        <v>33</v>
      </c>
      <c r="C4" s="2">
        <v>54.2</v>
      </c>
      <c r="D4" s="2">
        <v>96</v>
      </c>
      <c r="E4" s="4">
        <f>D4</f>
        <v>96</v>
      </c>
      <c r="F4" s="2">
        <f>(B4+C4+D4)*13</f>
        <v>2381.6</v>
      </c>
      <c r="G4" s="4">
        <f>E4*13</f>
        <v>1248</v>
      </c>
      <c r="H4" s="2">
        <f t="shared" si="0"/>
        <v>265.54840000000002</v>
      </c>
      <c r="I4" s="5">
        <f t="shared" si="0"/>
        <v>139.15200000000002</v>
      </c>
      <c r="J4" s="6">
        <f t="shared" si="1"/>
        <v>2116.0515999999998</v>
      </c>
      <c r="K4" s="5">
        <f t="shared" si="1"/>
        <v>1108.848</v>
      </c>
      <c r="L4" s="1">
        <v>24</v>
      </c>
      <c r="M4" s="3">
        <v>25</v>
      </c>
      <c r="N4" s="7">
        <f t="shared" si="2"/>
        <v>1608.1992159999998</v>
      </c>
      <c r="O4" s="8">
        <f t="shared" si="2"/>
        <v>831.63599999999997</v>
      </c>
      <c r="P4" s="4">
        <f>10*12</f>
        <v>120</v>
      </c>
      <c r="Q4" s="5">
        <f>P4*(100-9.15)/100</f>
        <v>109.02</v>
      </c>
      <c r="R4" s="5">
        <f>Q4*(100-M4)/100</f>
        <v>81.765000000000001</v>
      </c>
      <c r="S4" s="10">
        <f>N4+O4+R4</f>
        <v>2521.6002159999994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61A84-E19F-4AFB-AD06-5AE4239DBC8F}">
  <dimension ref="A1:AD41"/>
  <sheetViews>
    <sheetView topLeftCell="D7" workbookViewId="0">
      <selection activeCell="Z34" sqref="Z34"/>
    </sheetView>
  </sheetViews>
  <sheetFormatPr defaultRowHeight="15" x14ac:dyDescent="0.25"/>
  <cols>
    <col min="2" max="5" width="9.28515625" bestFit="1" customWidth="1"/>
    <col min="6" max="6" width="11" bestFit="1" customWidth="1"/>
    <col min="7" max="8" width="9.42578125" bestFit="1" customWidth="1"/>
    <col min="10" max="10" width="11" bestFit="1" customWidth="1"/>
    <col min="11" max="11" width="9.42578125" bestFit="1" customWidth="1"/>
    <col min="14" max="14" width="9.42578125" bestFit="1" customWidth="1"/>
    <col min="19" max="19" width="11.7109375" bestFit="1" customWidth="1"/>
    <col min="20" max="20" width="9.42578125" bestFit="1" customWidth="1"/>
    <col min="21" max="21" width="11" bestFit="1" customWidth="1"/>
    <col min="22" max="23" width="9.42578125" bestFit="1" customWidth="1"/>
    <col min="24" max="25" width="11" bestFit="1" customWidth="1"/>
    <col min="26" max="26" width="9.42578125" bestFit="1" customWidth="1"/>
    <col min="27" max="27" width="11" bestFit="1" customWidth="1"/>
    <col min="29" max="29" width="9.42578125" bestFit="1" customWidth="1"/>
    <col min="30" max="30" width="11" bestFit="1" customWidth="1"/>
  </cols>
  <sheetData>
    <row r="1" spans="1:30" x14ac:dyDescent="0.25">
      <c r="B1" s="13">
        <v>43466</v>
      </c>
      <c r="C1" s="1">
        <v>2020</v>
      </c>
      <c r="D1" s="1">
        <v>2021</v>
      </c>
      <c r="E1" s="3">
        <v>2022</v>
      </c>
      <c r="F1" s="1" t="s">
        <v>2</v>
      </c>
      <c r="G1" s="3" t="s">
        <v>1</v>
      </c>
      <c r="H1" s="1" t="s">
        <v>3</v>
      </c>
      <c r="I1" s="3" t="s">
        <v>3</v>
      </c>
      <c r="J1" s="1" t="s">
        <v>4</v>
      </c>
      <c r="K1" s="3" t="s">
        <v>4</v>
      </c>
      <c r="L1" s="1" t="s">
        <v>5</v>
      </c>
      <c r="M1" s="3" t="s">
        <v>6</v>
      </c>
      <c r="N1" s="1" t="s">
        <v>5</v>
      </c>
      <c r="O1" s="3" t="s">
        <v>6</v>
      </c>
      <c r="P1" s="3" t="s">
        <v>7</v>
      </c>
      <c r="Q1" s="3" t="s">
        <v>4</v>
      </c>
      <c r="R1" s="3" t="s">
        <v>8</v>
      </c>
      <c r="S1" s="9" t="s">
        <v>9</v>
      </c>
      <c r="T1" s="3" t="s">
        <v>27</v>
      </c>
      <c r="U1" s="3" t="s">
        <v>6</v>
      </c>
    </row>
    <row r="2" spans="1:30" x14ac:dyDescent="0.25">
      <c r="A2" t="s">
        <v>0</v>
      </c>
      <c r="B2" s="2">
        <v>12</v>
      </c>
      <c r="C2" s="2">
        <v>22.1</v>
      </c>
      <c r="D2" s="2">
        <v>49</v>
      </c>
      <c r="E2" s="4">
        <v>49</v>
      </c>
      <c r="F2" s="2">
        <f>($B$2+$C$2+$D$2)*13-5.44*3-9.06*7-9.06*26</f>
        <v>765</v>
      </c>
      <c r="G2" s="4">
        <f>E2*13-9.06*13</f>
        <v>519.22</v>
      </c>
      <c r="H2" s="2">
        <f t="shared" ref="H2:I4" si="0">F2*11.15%</f>
        <v>85.297499999999999</v>
      </c>
      <c r="I2" s="5">
        <f t="shared" si="0"/>
        <v>57.893030000000003</v>
      </c>
      <c r="J2" s="6">
        <f t="shared" ref="J2:J4" si="1">F2-H2</f>
        <v>679.70249999999999</v>
      </c>
      <c r="K2" s="5">
        <f>G2-I2+Q2</f>
        <v>524.55857000000003</v>
      </c>
      <c r="L2" s="1">
        <v>23</v>
      </c>
      <c r="M2" s="3">
        <v>25</v>
      </c>
      <c r="N2" s="7">
        <f t="shared" ref="N2:O4" si="2">J2*(100-L2)/100</f>
        <v>523.37092499999994</v>
      </c>
      <c r="O2" s="8">
        <f t="shared" si="2"/>
        <v>393.4189275</v>
      </c>
      <c r="P2" s="4">
        <f t="shared" ref="P2:P7" si="3">5.8*12</f>
        <v>69.599999999999994</v>
      </c>
      <c r="Q2" s="5">
        <f t="shared" ref="Q2:Q7" si="4">P2*(100-9.15)/100</f>
        <v>63.231599999999986</v>
      </c>
      <c r="R2" s="5">
        <f t="shared" ref="R2:R7" si="5">Q2*(100-M2)/100</f>
        <v>47.42369999999999</v>
      </c>
      <c r="S2" s="10">
        <f t="shared" ref="S2:S7" si="6">N2+O2+R2</f>
        <v>964.21355249999988</v>
      </c>
      <c r="T2" s="14">
        <f>IF(Foglio1!$G$7=0,'ka01'!J2,0)</f>
        <v>679.70249999999999</v>
      </c>
      <c r="U2" s="14">
        <f>IF(Foglio1!$G$7=0,'ka01'!K2,0)</f>
        <v>524.55857000000003</v>
      </c>
    </row>
    <row r="3" spans="1:30" x14ac:dyDescent="0.25">
      <c r="A3">
        <v>9</v>
      </c>
      <c r="B3" s="2">
        <v>13.1</v>
      </c>
      <c r="C3" s="2">
        <v>24.1</v>
      </c>
      <c r="D3" s="2">
        <v>53</v>
      </c>
      <c r="E3" s="4">
        <f>D3</f>
        <v>53</v>
      </c>
      <c r="F3" s="2">
        <f>($B$3+$C$3+$D$3)*13-5.92*3-9.87*7-9.87*26</f>
        <v>829.13000000000022</v>
      </c>
      <c r="G3" s="4">
        <f>E3*13-9.87*13</f>
        <v>560.69000000000005</v>
      </c>
      <c r="H3" s="2">
        <f t="shared" si="0"/>
        <v>92.44799500000002</v>
      </c>
      <c r="I3" s="5">
        <f t="shared" si="0"/>
        <v>62.516935000000004</v>
      </c>
      <c r="J3" s="6">
        <f t="shared" si="1"/>
        <v>736.68200500000023</v>
      </c>
      <c r="K3" s="5">
        <f t="shared" ref="K3:K7" si="7">G3-I3+Q3</f>
        <v>561.40466500000002</v>
      </c>
      <c r="L3" s="1">
        <v>23.4</v>
      </c>
      <c r="M3" s="3">
        <v>25</v>
      </c>
      <c r="N3" s="7">
        <f t="shared" si="2"/>
        <v>564.29841583000018</v>
      </c>
      <c r="O3" s="8">
        <f t="shared" si="2"/>
        <v>421.05349875000002</v>
      </c>
      <c r="P3" s="4">
        <f t="shared" si="3"/>
        <v>69.599999999999994</v>
      </c>
      <c r="Q3" s="5">
        <f t="shared" si="4"/>
        <v>63.231599999999986</v>
      </c>
      <c r="R3" s="5">
        <f t="shared" si="5"/>
        <v>47.42369999999999</v>
      </c>
      <c r="S3" s="10">
        <f t="shared" si="6"/>
        <v>1032.7756145800001</v>
      </c>
      <c r="T3" s="14">
        <f>IF(Foglio1!$G$7=9,'ka01'!J3,0)</f>
        <v>0</v>
      </c>
      <c r="U3" s="14">
        <f>IF(Foglio1!$G$7=9,'ka01'!K3,0)</f>
        <v>0</v>
      </c>
    </row>
    <row r="4" spans="1:30" x14ac:dyDescent="0.25">
      <c r="A4">
        <v>15</v>
      </c>
      <c r="B4" s="2">
        <v>13.9</v>
      </c>
      <c r="C4" s="2">
        <v>25.6</v>
      </c>
      <c r="D4" s="2">
        <v>56</v>
      </c>
      <c r="E4" s="4">
        <f>D4</f>
        <v>56</v>
      </c>
      <c r="F4" s="2">
        <f>($B$4+$C$4+$D$4)*13-6.28*3-10.46*7-10.46*26</f>
        <v>877.48</v>
      </c>
      <c r="G4" s="4">
        <f>E4*13-10.46*13</f>
        <v>592.02</v>
      </c>
      <c r="H4" s="2">
        <f t="shared" si="0"/>
        <v>97.839020000000005</v>
      </c>
      <c r="I4" s="5">
        <f t="shared" si="0"/>
        <v>66.010229999999993</v>
      </c>
      <c r="J4" s="6">
        <f t="shared" si="1"/>
        <v>779.64098000000001</v>
      </c>
      <c r="K4" s="5">
        <f t="shared" si="7"/>
        <v>589.24136999999996</v>
      </c>
      <c r="L4" s="1">
        <v>23.4</v>
      </c>
      <c r="M4" s="3">
        <v>25</v>
      </c>
      <c r="N4" s="7">
        <f t="shared" si="2"/>
        <v>597.20499067999992</v>
      </c>
      <c r="O4" s="8">
        <f t="shared" si="2"/>
        <v>441.93102749999997</v>
      </c>
      <c r="P4" s="4">
        <f t="shared" si="3"/>
        <v>69.599999999999994</v>
      </c>
      <c r="Q4" s="5">
        <f t="shared" si="4"/>
        <v>63.231599999999986</v>
      </c>
      <c r="R4" s="5">
        <f t="shared" si="5"/>
        <v>47.42369999999999</v>
      </c>
      <c r="S4" s="10">
        <f t="shared" si="6"/>
        <v>1086.5597181799999</v>
      </c>
      <c r="T4" s="14">
        <f>IF(Foglio1!$G$7=15,'ka01'!J4,0)</f>
        <v>0</v>
      </c>
      <c r="U4" s="14">
        <f>IF(Foglio1!$G$7=15,'ka01'!K4,0)</f>
        <v>0</v>
      </c>
    </row>
    <row r="5" spans="1:30" x14ac:dyDescent="0.25">
      <c r="A5">
        <v>21</v>
      </c>
      <c r="B5" s="2">
        <v>14.6</v>
      </c>
      <c r="C5" s="2">
        <v>27</v>
      </c>
      <c r="D5" s="2">
        <v>60</v>
      </c>
      <c r="E5" s="4">
        <f t="shared" ref="E5:E7" si="8">D5</f>
        <v>60</v>
      </c>
      <c r="F5" s="2">
        <f>($B$5+$C$5+$D$5)*13-6.62*3-11.04*7-11.04*26</f>
        <v>936.62000000000012</v>
      </c>
      <c r="G5" s="4">
        <f>E5*13-11.04*13</f>
        <v>636.48</v>
      </c>
      <c r="H5" s="2">
        <f t="shared" ref="H5:H7" si="9">F5*11.15%</f>
        <v>104.43313000000002</v>
      </c>
      <c r="I5" s="5">
        <f t="shared" ref="I5:I7" si="10">G5*11.15%</f>
        <v>70.967520000000007</v>
      </c>
      <c r="J5" s="6">
        <f t="shared" ref="J5:J7" si="11">F5-H5</f>
        <v>832.18687000000011</v>
      </c>
      <c r="K5" s="5">
        <f t="shared" si="7"/>
        <v>628.74407999999994</v>
      </c>
      <c r="L5" s="1">
        <v>23.4</v>
      </c>
      <c r="M5" s="3">
        <v>25</v>
      </c>
      <c r="N5" s="7">
        <f t="shared" ref="N5:N7" si="12">J5*(100-L5)/100</f>
        <v>637.45514242000002</v>
      </c>
      <c r="O5" s="8">
        <f t="shared" ref="O5:O7" si="13">K5*(100-M5)/100</f>
        <v>471.55805999999995</v>
      </c>
      <c r="P5" s="4">
        <f t="shared" si="3"/>
        <v>69.599999999999994</v>
      </c>
      <c r="Q5" s="5">
        <f t="shared" si="4"/>
        <v>63.231599999999986</v>
      </c>
      <c r="R5" s="5">
        <f t="shared" si="5"/>
        <v>47.42369999999999</v>
      </c>
      <c r="S5" s="10">
        <f t="shared" si="6"/>
        <v>1156.43690242</v>
      </c>
      <c r="T5" s="14">
        <f>IF(Foglio1!$G$7=21,'ka01'!J5,0)</f>
        <v>0</v>
      </c>
      <c r="U5" s="14">
        <f>IF(Foglio1!$G$7=21,'ka01'!K5,0)</f>
        <v>0</v>
      </c>
    </row>
    <row r="6" spans="1:30" x14ac:dyDescent="0.25">
      <c r="A6">
        <v>28</v>
      </c>
      <c r="B6" s="2">
        <v>15.2</v>
      </c>
      <c r="C6" s="2">
        <v>28</v>
      </c>
      <c r="D6" s="2">
        <v>62</v>
      </c>
      <c r="E6" s="4">
        <f t="shared" si="8"/>
        <v>62</v>
      </c>
      <c r="F6" s="2">
        <f>($B$6+$C$6+$D$6)*13-6.89*3-11.48*7-11.48*26</f>
        <v>968.09000000000015</v>
      </c>
      <c r="G6" s="4">
        <f>E6*13-11.48*13</f>
        <v>656.76</v>
      </c>
      <c r="H6" s="2">
        <f t="shared" si="9"/>
        <v>107.94203500000002</v>
      </c>
      <c r="I6" s="5">
        <f t="shared" si="10"/>
        <v>73.228740000000002</v>
      </c>
      <c r="J6" s="6">
        <f t="shared" si="11"/>
        <v>860.14796500000011</v>
      </c>
      <c r="K6" s="5">
        <f t="shared" si="7"/>
        <v>646.76285999999993</v>
      </c>
      <c r="L6" s="1">
        <v>23.4</v>
      </c>
      <c r="M6" s="3">
        <v>25</v>
      </c>
      <c r="N6" s="7">
        <f t="shared" si="12"/>
        <v>658.87334119000002</v>
      </c>
      <c r="O6" s="8">
        <f t="shared" si="13"/>
        <v>485.07214499999992</v>
      </c>
      <c r="P6" s="4">
        <f t="shared" si="3"/>
        <v>69.599999999999994</v>
      </c>
      <c r="Q6" s="5">
        <f t="shared" si="4"/>
        <v>63.231599999999986</v>
      </c>
      <c r="R6" s="5">
        <f t="shared" si="5"/>
        <v>47.42369999999999</v>
      </c>
      <c r="S6" s="10">
        <f t="shared" si="6"/>
        <v>1191.3691861899999</v>
      </c>
      <c r="T6" s="14">
        <f>IF(Foglio1!$G$7=28,'ka01'!J6,0)</f>
        <v>0</v>
      </c>
      <c r="U6" s="14">
        <f>IF(Foglio1!$G$7=28,'ka01'!K6,0)</f>
        <v>0</v>
      </c>
    </row>
    <row r="7" spans="1:30" x14ac:dyDescent="0.25">
      <c r="A7">
        <v>35</v>
      </c>
      <c r="B7" s="2">
        <v>15.6</v>
      </c>
      <c r="C7" s="2">
        <v>28.8</v>
      </c>
      <c r="D7" s="2">
        <v>64</v>
      </c>
      <c r="E7" s="4">
        <f t="shared" si="8"/>
        <v>64</v>
      </c>
      <c r="F7" s="2">
        <f>($B$7+$C$7+$D$7)*13-7.07*3-11.79*7-11.79*26</f>
        <v>998.92000000000007</v>
      </c>
      <c r="G7" s="4">
        <f>E7*13-11.79*13</f>
        <v>678.73</v>
      </c>
      <c r="H7" s="2">
        <f t="shared" si="9"/>
        <v>111.37958</v>
      </c>
      <c r="I7" s="5">
        <f t="shared" si="10"/>
        <v>75.678395000000009</v>
      </c>
      <c r="J7" s="6">
        <f t="shared" si="11"/>
        <v>887.54042000000004</v>
      </c>
      <c r="K7" s="5">
        <f t="shared" si="7"/>
        <v>666.28320499999995</v>
      </c>
      <c r="L7" s="1">
        <v>23.4</v>
      </c>
      <c r="M7" s="3">
        <v>25</v>
      </c>
      <c r="N7" s="7">
        <f t="shared" si="12"/>
        <v>679.8559617200001</v>
      </c>
      <c r="O7" s="8">
        <f t="shared" si="13"/>
        <v>499.71240374999996</v>
      </c>
      <c r="P7" s="4">
        <f t="shared" si="3"/>
        <v>69.599999999999994</v>
      </c>
      <c r="Q7" s="5">
        <f t="shared" si="4"/>
        <v>63.231599999999986</v>
      </c>
      <c r="R7" s="5">
        <f t="shared" si="5"/>
        <v>47.42369999999999</v>
      </c>
      <c r="S7" s="10">
        <f t="shared" si="6"/>
        <v>1226.9920654700002</v>
      </c>
      <c r="T7" s="14">
        <f>IF(Foglio1!$G$7=35,'ka01'!J7,0)</f>
        <v>0</v>
      </c>
      <c r="U7" s="14">
        <f>IF(Foglio1!$G$7=35,'ka01'!K7,0)</f>
        <v>0</v>
      </c>
    </row>
    <row r="8" spans="1:30" x14ac:dyDescent="0.25">
      <c r="T8" s="12">
        <f>SUM(T2:T7)</f>
        <v>679.70249999999999</v>
      </c>
      <c r="U8" s="12">
        <f>SUM(U2:U7)</f>
        <v>524.55857000000003</v>
      </c>
    </row>
    <row r="11" spans="1:30" x14ac:dyDescent="0.25">
      <c r="B11">
        <v>2019</v>
      </c>
      <c r="C11" t="s">
        <v>23</v>
      </c>
      <c r="D11" t="s">
        <v>24</v>
      </c>
      <c r="E11" t="s">
        <v>25</v>
      </c>
      <c r="F11" t="s">
        <v>26</v>
      </c>
      <c r="G11" t="s">
        <v>8</v>
      </c>
    </row>
    <row r="12" spans="1:30" x14ac:dyDescent="0.25">
      <c r="A12">
        <v>0</v>
      </c>
      <c r="B12" s="12">
        <f>B2*13</f>
        <v>156</v>
      </c>
      <c r="C12" s="12">
        <f>B12*11.15/100</f>
        <v>17.394000000000002</v>
      </c>
      <c r="D12" s="12">
        <f>B12-C12</f>
        <v>138.60599999999999</v>
      </c>
      <c r="E12">
        <f>L2</f>
        <v>23</v>
      </c>
      <c r="F12" s="12">
        <f>D12*E12/100</f>
        <v>31.879380000000001</v>
      </c>
      <c r="G12" s="12">
        <f>D12-F12</f>
        <v>106.72662</v>
      </c>
      <c r="M12">
        <f>54.8*13</f>
        <v>712.4</v>
      </c>
    </row>
    <row r="13" spans="1:30" x14ac:dyDescent="0.25">
      <c r="A13">
        <v>9</v>
      </c>
      <c r="B13" s="12">
        <f t="shared" ref="B13:B17" si="14">B3*13</f>
        <v>170.29999999999998</v>
      </c>
      <c r="C13" s="12">
        <f t="shared" ref="C13:C17" si="15">B13*11.15/100</f>
        <v>18.988449999999997</v>
      </c>
      <c r="D13" s="12">
        <f t="shared" ref="D13:D17" si="16">B13-C13</f>
        <v>151.31154999999998</v>
      </c>
      <c r="E13">
        <f t="shared" ref="E13:E17" si="17">L3</f>
        <v>23.4</v>
      </c>
      <c r="F13" s="12">
        <f t="shared" ref="F13:F17" si="18">D13*E13/100</f>
        <v>35.406902699999996</v>
      </c>
      <c r="G13" s="12">
        <f t="shared" ref="G13:G17" si="19">D13-F13</f>
        <v>115.90464729999999</v>
      </c>
      <c r="M13">
        <f>49*13</f>
        <v>637</v>
      </c>
      <c r="U13" s="1">
        <v>2019</v>
      </c>
      <c r="V13" s="3" t="s">
        <v>27</v>
      </c>
      <c r="W13" s="1">
        <v>2020</v>
      </c>
      <c r="X13" s="3" t="s">
        <v>27</v>
      </c>
      <c r="Y13" s="1">
        <v>2021</v>
      </c>
      <c r="Z13" s="3" t="s">
        <v>27</v>
      </c>
      <c r="AA13" s="3">
        <v>2022</v>
      </c>
      <c r="AB13" s="3" t="s">
        <v>27</v>
      </c>
      <c r="AC13" s="3" t="s">
        <v>51</v>
      </c>
      <c r="AD13" s="3" t="s">
        <v>27</v>
      </c>
    </row>
    <row r="14" spans="1:30" x14ac:dyDescent="0.25">
      <c r="A14">
        <v>15</v>
      </c>
      <c r="B14" s="12">
        <f t="shared" si="14"/>
        <v>180.70000000000002</v>
      </c>
      <c r="C14" s="12">
        <f t="shared" si="15"/>
        <v>20.148050000000001</v>
      </c>
      <c r="D14" s="12">
        <f t="shared" si="16"/>
        <v>160.55195000000001</v>
      </c>
      <c r="E14">
        <f t="shared" si="17"/>
        <v>23.4</v>
      </c>
      <c r="F14" s="12">
        <f t="shared" si="18"/>
        <v>37.569156300000003</v>
      </c>
      <c r="G14" s="12">
        <f t="shared" si="19"/>
        <v>122.9827937</v>
      </c>
      <c r="M14">
        <f>22.1*13</f>
        <v>287.3</v>
      </c>
      <c r="U14" s="2">
        <f>($B$2)*13-5.44*3-9.06*7</f>
        <v>76.260000000000005</v>
      </c>
      <c r="V14" s="14">
        <f>IF(Foglio1!$G$7=0,'ka01'!U14,0)</f>
        <v>76.260000000000005</v>
      </c>
      <c r="W14" s="2">
        <f>(C2)*13-9.06*13</f>
        <v>169.52</v>
      </c>
      <c r="X14" s="14">
        <f>IF(Foglio1!$G$7=0,'ka01'!W14,0)</f>
        <v>169.52</v>
      </c>
      <c r="Y14" s="2">
        <f>($D$2)*13-9.06*13</f>
        <v>519.22</v>
      </c>
      <c r="Z14" s="14">
        <f>IF(Foglio1!$G$7=0,'ka01'!Y14,0)</f>
        <v>519.22</v>
      </c>
      <c r="AA14" s="4">
        <f>G2+P2</f>
        <v>588.82000000000005</v>
      </c>
      <c r="AB14" s="14">
        <f>IF(Foglio1!$G$7=0,'ka01'!AA14,0)</f>
        <v>588.82000000000005</v>
      </c>
      <c r="AC14" s="12">
        <f>K2</f>
        <v>524.55857000000003</v>
      </c>
      <c r="AD14" s="14">
        <f>IF(Foglio1!$G$7=0,'ka01'!AC14,0)</f>
        <v>524.55857000000003</v>
      </c>
    </row>
    <row r="15" spans="1:30" x14ac:dyDescent="0.25">
      <c r="A15">
        <v>21</v>
      </c>
      <c r="B15" s="12">
        <f t="shared" si="14"/>
        <v>189.79999999999998</v>
      </c>
      <c r="C15" s="12">
        <f t="shared" si="15"/>
        <v>21.162700000000001</v>
      </c>
      <c r="D15" s="12">
        <f t="shared" si="16"/>
        <v>168.63729999999998</v>
      </c>
      <c r="E15">
        <f t="shared" si="17"/>
        <v>23.4</v>
      </c>
      <c r="F15" s="12">
        <f t="shared" si="18"/>
        <v>39.46112819999999</v>
      </c>
      <c r="G15" s="12">
        <f t="shared" si="19"/>
        <v>129.17617179999999</v>
      </c>
      <c r="M15">
        <f>12*13</f>
        <v>156</v>
      </c>
      <c r="U15" s="2">
        <f>($B$3)*13-5.92*3-9.87*7</f>
        <v>83.45</v>
      </c>
      <c r="V15" s="14">
        <f>IF(Foglio1!$G$7=9,'ka01'!U15,0)</f>
        <v>0</v>
      </c>
      <c r="W15" s="2">
        <f>($C$3)*13-9.87*13</f>
        <v>184.99</v>
      </c>
      <c r="X15" s="14">
        <f>IF(Foglio1!$G$7=9,'ka01'!W15,0)</f>
        <v>0</v>
      </c>
      <c r="Y15" s="2">
        <f>($D$3)*13-9.87*13</f>
        <v>560.69000000000005</v>
      </c>
      <c r="Z15" s="14">
        <f>IF(Foglio1!$G$7=9,'ka01'!Y15,0)</f>
        <v>0</v>
      </c>
      <c r="AA15" s="4">
        <f t="shared" ref="AA15:AA19" si="20">G3+P3</f>
        <v>630.29000000000008</v>
      </c>
      <c r="AB15" s="14">
        <f>IF(Foglio1!$G$7=9,'ka01'!AA15,0)</f>
        <v>0</v>
      </c>
      <c r="AC15" s="12">
        <f t="shared" ref="AC15:AC19" si="21">K3</f>
        <v>561.40466500000002</v>
      </c>
      <c r="AD15" s="14">
        <f>IF(Foglio1!$G$7=9,'ka01'!AC15,0)</f>
        <v>0</v>
      </c>
    </row>
    <row r="16" spans="1:30" x14ac:dyDescent="0.25">
      <c r="A16">
        <v>28</v>
      </c>
      <c r="B16" s="12">
        <f t="shared" si="14"/>
        <v>197.6</v>
      </c>
      <c r="C16" s="12">
        <f t="shared" si="15"/>
        <v>22.032399999999999</v>
      </c>
      <c r="D16" s="12">
        <f t="shared" si="16"/>
        <v>175.5676</v>
      </c>
      <c r="E16">
        <f t="shared" si="17"/>
        <v>23.4</v>
      </c>
      <c r="F16" s="12">
        <f t="shared" si="18"/>
        <v>41.082818399999994</v>
      </c>
      <c r="G16" s="12">
        <f t="shared" si="19"/>
        <v>134.48478160000002</v>
      </c>
      <c r="M16">
        <f>M12+M13+M14+M15</f>
        <v>1792.7</v>
      </c>
      <c r="U16" s="2">
        <f>($B$4)*13-6.28*3-10.46*7</f>
        <v>88.640000000000015</v>
      </c>
      <c r="V16" s="14">
        <f>IF(Foglio1!$G$7=15,'ka01'!U16,0)</f>
        <v>0</v>
      </c>
      <c r="W16" s="2">
        <f>($C$4)*13-10.46*13</f>
        <v>196.82</v>
      </c>
      <c r="X16" s="14">
        <f>IF(Foglio1!$G$7=15,'ka01'!W16,0)</f>
        <v>0</v>
      </c>
      <c r="Y16" s="2">
        <f>(D4)*13-10.46*13</f>
        <v>592.02</v>
      </c>
      <c r="Z16" s="14">
        <f>IF(Foglio1!$G$7=15,'ka01'!Y16,0)</f>
        <v>0</v>
      </c>
      <c r="AA16" s="4">
        <f t="shared" si="20"/>
        <v>661.62</v>
      </c>
      <c r="AB16" s="14">
        <f>IF(Foglio1!$G$7=15,'ka01'!AA16,0)</f>
        <v>0</v>
      </c>
      <c r="AC16" s="12">
        <f t="shared" si="21"/>
        <v>589.24136999999996</v>
      </c>
      <c r="AD16" s="14">
        <f>IF(Foglio1!$G$7=15,'ka01'!AC16,0)</f>
        <v>0</v>
      </c>
    </row>
    <row r="17" spans="1:30" x14ac:dyDescent="0.25">
      <c r="A17">
        <v>35</v>
      </c>
      <c r="B17" s="12">
        <f t="shared" si="14"/>
        <v>202.79999999999998</v>
      </c>
      <c r="C17" s="12">
        <f t="shared" si="15"/>
        <v>22.612199999999998</v>
      </c>
      <c r="D17" s="12">
        <f t="shared" si="16"/>
        <v>180.18779999999998</v>
      </c>
      <c r="E17">
        <f t="shared" si="17"/>
        <v>23.4</v>
      </c>
      <c r="F17" s="12">
        <f t="shared" si="18"/>
        <v>42.163945199999986</v>
      </c>
      <c r="G17" s="12">
        <f t="shared" si="19"/>
        <v>138.02385479999998</v>
      </c>
      <c r="M17">
        <f>M16*24%</f>
        <v>430.24799999999999</v>
      </c>
      <c r="U17" s="2">
        <f>($B$5)*13-6.62*3-11.04*7</f>
        <v>92.66</v>
      </c>
      <c r="V17" s="14">
        <f>IF(Foglio1!$G$7=21,'ka01'!U17,0)</f>
        <v>0</v>
      </c>
      <c r="W17" s="2">
        <f>($C$5)*13-11.04*13</f>
        <v>207.48000000000002</v>
      </c>
      <c r="X17" s="14">
        <f>IF(Foglio1!$G$7=21,'ka01'!W17,0)</f>
        <v>0</v>
      </c>
      <c r="Y17" s="2">
        <f>($D$5)*13-11.04*13</f>
        <v>636.48</v>
      </c>
      <c r="Z17" s="14">
        <f>IF(Foglio1!$G$7=21,'ka01'!Y17,0)</f>
        <v>0</v>
      </c>
      <c r="AA17" s="4">
        <f t="shared" si="20"/>
        <v>706.08</v>
      </c>
      <c r="AB17" s="14">
        <f>IF(Foglio1!$G$7=21,'ka01'!AA17,0)</f>
        <v>0</v>
      </c>
      <c r="AC17" s="12">
        <f t="shared" si="21"/>
        <v>628.74407999999994</v>
      </c>
      <c r="AD17" s="14">
        <f>IF(Foglio1!$G$7=21,'ka01'!AC17,0)</f>
        <v>0</v>
      </c>
    </row>
    <row r="18" spans="1:30" x14ac:dyDescent="0.25">
      <c r="M18">
        <f>M16-M17</f>
        <v>1362.452</v>
      </c>
      <c r="U18" s="2">
        <f>($B$6)*13-6.89*3-11.48*7</f>
        <v>96.570000000000007</v>
      </c>
      <c r="V18" s="14">
        <f>IF(Foglio1!$G$7=28,'ka01'!U18,0)</f>
        <v>0</v>
      </c>
      <c r="W18" s="2">
        <f>(C$6)*13-11.48*13</f>
        <v>214.76</v>
      </c>
      <c r="X18" s="14">
        <f>IF(Foglio1!$G$7=28,'ka01'!W18,0)</f>
        <v>0</v>
      </c>
      <c r="Y18" s="2">
        <f>($D$6)*13-11.48*13</f>
        <v>656.76</v>
      </c>
      <c r="Z18" s="14">
        <f>IF(Foglio1!$G$7=28,'ka01'!Y18,0)</f>
        <v>0</v>
      </c>
      <c r="AA18" s="4">
        <f t="shared" si="20"/>
        <v>726.36</v>
      </c>
      <c r="AB18" s="14">
        <f>IF(Foglio1!$G$7=28,'ka01'!AA18,0)</f>
        <v>0</v>
      </c>
      <c r="AC18" s="12">
        <f t="shared" si="21"/>
        <v>646.76285999999993</v>
      </c>
      <c r="AD18" s="14">
        <f>IF(Foglio1!$G$7=28,'ka01'!AC18,0)</f>
        <v>0</v>
      </c>
    </row>
    <row r="19" spans="1:30" x14ac:dyDescent="0.25">
      <c r="B19">
        <v>2020</v>
      </c>
      <c r="C19" t="s">
        <v>23</v>
      </c>
      <c r="D19" t="s">
        <v>24</v>
      </c>
      <c r="E19" t="s">
        <v>25</v>
      </c>
      <c r="F19" t="s">
        <v>26</v>
      </c>
      <c r="G19" t="s">
        <v>8</v>
      </c>
      <c r="U19" s="2">
        <f>($B$7)*13-7.07*3-11.79*7</f>
        <v>99.059999999999974</v>
      </c>
      <c r="V19" s="14">
        <f>IF(Foglio1!$G$7=35,'ka01'!U19,0)</f>
        <v>0</v>
      </c>
      <c r="W19" s="2">
        <f>($C$7)*13-11.79*13</f>
        <v>221.13000000000005</v>
      </c>
      <c r="X19" s="14">
        <f>IF(Foglio1!$G$7=35,'ka01'!W19,0)</f>
        <v>0</v>
      </c>
      <c r="Y19" s="2">
        <f>($D$7)*13-11.79*13</f>
        <v>678.73</v>
      </c>
      <c r="Z19" s="14">
        <f>IF(Foglio1!$G$7=35,'ka01'!Y19,0)</f>
        <v>0</v>
      </c>
      <c r="AA19" s="4">
        <f t="shared" si="20"/>
        <v>748.33</v>
      </c>
      <c r="AB19" s="14">
        <f>IF(Foglio1!$G$7=35,'ka01'!AA19,0)</f>
        <v>0</v>
      </c>
      <c r="AC19" s="12">
        <f t="shared" si="21"/>
        <v>666.28320499999995</v>
      </c>
      <c r="AD19" s="14">
        <f>IF(Foglio1!$G$7=35,'ka01'!AC19,0)</f>
        <v>0</v>
      </c>
    </row>
    <row r="20" spans="1:30" x14ac:dyDescent="0.25">
      <c r="A20">
        <v>0</v>
      </c>
      <c r="B20" s="12">
        <f>C2*13</f>
        <v>287.3</v>
      </c>
      <c r="C20" s="12">
        <f>B20*11.15/100</f>
        <v>32.033950000000004</v>
      </c>
      <c r="D20" s="12">
        <f>B20-C20</f>
        <v>255.26605000000001</v>
      </c>
      <c r="E20">
        <f>E12</f>
        <v>23</v>
      </c>
      <c r="F20" s="12">
        <f>D20*E20/100</f>
        <v>58.711191500000005</v>
      </c>
      <c r="G20" s="12">
        <f>D20-F20</f>
        <v>196.55485849999999</v>
      </c>
      <c r="V20" s="12">
        <f>SUM(V14:V19)</f>
        <v>76.260000000000005</v>
      </c>
      <c r="X20" s="12">
        <f>SUM(X14:X19)</f>
        <v>169.52</v>
      </c>
      <c r="Z20" s="12">
        <f>SUM(Z14:Z19)</f>
        <v>519.22</v>
      </c>
      <c r="AB20" s="12">
        <f>SUM(AB14:AB19)</f>
        <v>588.82000000000005</v>
      </c>
      <c r="AD20" s="12">
        <f>SUM(AD14:AD19)</f>
        <v>524.55857000000003</v>
      </c>
    </row>
    <row r="21" spans="1:30" x14ac:dyDescent="0.25">
      <c r="A21">
        <v>9</v>
      </c>
      <c r="B21" s="12">
        <f t="shared" ref="B21:B25" si="22">C3*13</f>
        <v>313.3</v>
      </c>
      <c r="C21" s="12">
        <f t="shared" ref="C21:C25" si="23">B21*11.15/100</f>
        <v>34.932949999999998</v>
      </c>
      <c r="D21" s="12">
        <f t="shared" ref="D21:D25" si="24">B21-C21</f>
        <v>278.36705000000001</v>
      </c>
      <c r="E21">
        <f t="shared" ref="E21:E25" si="25">E13</f>
        <v>23.4</v>
      </c>
      <c r="F21" s="12">
        <f t="shared" ref="F21:F25" si="26">D21*E21/100</f>
        <v>65.137889700000002</v>
      </c>
      <c r="G21" s="12">
        <f t="shared" ref="G21:G25" si="27">D21-F21</f>
        <v>213.22916029999999</v>
      </c>
    </row>
    <row r="22" spans="1:30" x14ac:dyDescent="0.25">
      <c r="A22">
        <v>15</v>
      </c>
      <c r="B22" s="12">
        <f t="shared" si="22"/>
        <v>332.8</v>
      </c>
      <c r="C22" s="12">
        <f t="shared" si="23"/>
        <v>37.107200000000006</v>
      </c>
      <c r="D22" s="12">
        <f t="shared" si="24"/>
        <v>295.69280000000003</v>
      </c>
      <c r="E22">
        <f t="shared" si="25"/>
        <v>23.4</v>
      </c>
      <c r="F22" s="12">
        <f t="shared" si="26"/>
        <v>69.192115200000003</v>
      </c>
      <c r="G22" s="12">
        <f t="shared" si="27"/>
        <v>226.50068480000004</v>
      </c>
    </row>
    <row r="23" spans="1:30" ht="31.5" x14ac:dyDescent="0.5">
      <c r="A23">
        <v>21</v>
      </c>
      <c r="B23" s="12">
        <f t="shared" si="22"/>
        <v>351</v>
      </c>
      <c r="C23" s="12">
        <f t="shared" si="23"/>
        <v>39.136499999999998</v>
      </c>
      <c r="D23" s="12">
        <f t="shared" si="24"/>
        <v>311.86349999999999</v>
      </c>
      <c r="E23">
        <f t="shared" si="25"/>
        <v>23.4</v>
      </c>
      <c r="F23" s="12">
        <f t="shared" si="26"/>
        <v>72.976058999999992</v>
      </c>
      <c r="G23" s="12">
        <f t="shared" si="27"/>
        <v>238.887441</v>
      </c>
      <c r="I23" s="11" t="s">
        <v>32</v>
      </c>
    </row>
    <row r="24" spans="1:30" x14ac:dyDescent="0.25">
      <c r="A24">
        <v>28</v>
      </c>
      <c r="B24" s="12">
        <f t="shared" si="22"/>
        <v>364</v>
      </c>
      <c r="C24" s="12">
        <f t="shared" si="23"/>
        <v>40.585999999999999</v>
      </c>
      <c r="D24" s="12">
        <f t="shared" si="24"/>
        <v>323.41399999999999</v>
      </c>
      <c r="E24">
        <f t="shared" si="25"/>
        <v>23.4</v>
      </c>
      <c r="F24" s="12">
        <f t="shared" si="26"/>
        <v>75.678875999999988</v>
      </c>
      <c r="G24" s="12">
        <f t="shared" si="27"/>
        <v>247.73512399999998</v>
      </c>
    </row>
    <row r="25" spans="1:30" x14ac:dyDescent="0.25">
      <c r="A25">
        <v>35</v>
      </c>
      <c r="B25" s="12">
        <f t="shared" si="22"/>
        <v>374.40000000000003</v>
      </c>
      <c r="C25" s="12">
        <f t="shared" si="23"/>
        <v>41.745600000000003</v>
      </c>
      <c r="D25" s="12">
        <f t="shared" si="24"/>
        <v>332.65440000000001</v>
      </c>
      <c r="E25">
        <f t="shared" si="25"/>
        <v>23.4</v>
      </c>
      <c r="F25" s="12">
        <f t="shared" si="26"/>
        <v>77.841129599999988</v>
      </c>
      <c r="G25" s="12">
        <f t="shared" si="27"/>
        <v>254.81327040000002</v>
      </c>
    </row>
    <row r="26" spans="1:30" x14ac:dyDescent="0.25">
      <c r="I26">
        <f>IF(Foglio1!A5='ka01'!I23,1,0)</f>
        <v>0</v>
      </c>
      <c r="J26" s="12">
        <f>T8*I26</f>
        <v>0</v>
      </c>
      <c r="K26" s="12">
        <f>U8*I26</f>
        <v>0</v>
      </c>
      <c r="V26" s="12">
        <f>V20*I26</f>
        <v>0</v>
      </c>
      <c r="W26" s="12">
        <f>I26*X20</f>
        <v>0</v>
      </c>
      <c r="X26" s="12">
        <f>Z20*I26</f>
        <v>0</v>
      </c>
      <c r="Y26" s="12">
        <f>AB20*I26</f>
        <v>0</v>
      </c>
      <c r="Z26" s="12">
        <f>AD20*I26</f>
        <v>0</v>
      </c>
    </row>
    <row r="27" spans="1:30" x14ac:dyDescent="0.25">
      <c r="B27">
        <v>2020</v>
      </c>
      <c r="C27" t="s">
        <v>23</v>
      </c>
      <c r="D27" t="s">
        <v>24</v>
      </c>
      <c r="E27" t="s">
        <v>25</v>
      </c>
      <c r="F27" t="s">
        <v>26</v>
      </c>
      <c r="G27" t="s">
        <v>8</v>
      </c>
      <c r="J27" s="12">
        <f>'KA05'!J26</f>
        <v>876.06099999999981</v>
      </c>
      <c r="K27" s="12">
        <f>'KA05'!K26</f>
        <v>700.98312499999997</v>
      </c>
      <c r="V27" s="12">
        <f>'KA03'!V26</f>
        <v>0</v>
      </c>
      <c r="W27" s="12">
        <f>'KA03'!X26</f>
        <v>0</v>
      </c>
      <c r="X27" s="12">
        <f>'KA03'!Z26</f>
        <v>0</v>
      </c>
      <c r="Y27" s="12">
        <f>'KA03'!AB26</f>
        <v>0</v>
      </c>
      <c r="Z27" s="12">
        <f>'KA03'!AD26</f>
        <v>0</v>
      </c>
    </row>
    <row r="28" spans="1:30" x14ac:dyDescent="0.25">
      <c r="A28">
        <v>0</v>
      </c>
      <c r="B28" s="12">
        <f>D2*13</f>
        <v>637</v>
      </c>
      <c r="C28" s="12">
        <f>B28*11.15/100</f>
        <v>71.025500000000008</v>
      </c>
      <c r="D28" s="12">
        <f>B28-C28</f>
        <v>565.97450000000003</v>
      </c>
      <c r="E28">
        <f>E20</f>
        <v>23</v>
      </c>
      <c r="F28" s="12">
        <f>D28*E28/100</f>
        <v>130.17413500000001</v>
      </c>
      <c r="G28" s="12">
        <f>D28-F28</f>
        <v>435.80036500000006</v>
      </c>
      <c r="J28" s="12">
        <f>'KA08'!$J$26</f>
        <v>0</v>
      </c>
      <c r="K28" s="12">
        <f>'KA08'!$K$26</f>
        <v>0</v>
      </c>
      <c r="V28" s="12">
        <f>'KA04'!V26</f>
        <v>0</v>
      </c>
      <c r="W28" s="12">
        <f>'KA04'!X26</f>
        <v>0</v>
      </c>
      <c r="X28" s="12">
        <f>'KA04'!Z26</f>
        <v>0</v>
      </c>
      <c r="Y28" s="12">
        <f>'KA04'!AB26</f>
        <v>0</v>
      </c>
      <c r="Z28" s="12">
        <f>'KA04'!AD26</f>
        <v>0</v>
      </c>
    </row>
    <row r="29" spans="1:30" x14ac:dyDescent="0.25">
      <c r="A29">
        <v>9</v>
      </c>
      <c r="B29" s="12">
        <f t="shared" ref="B29:B33" si="28">D3*13</f>
        <v>689</v>
      </c>
      <c r="C29" s="12">
        <f t="shared" ref="C29:C33" si="29">B29*11.15/100</f>
        <v>76.82350000000001</v>
      </c>
      <c r="D29" s="12">
        <f t="shared" ref="D29:D33" si="30">B29-C29</f>
        <v>612.17650000000003</v>
      </c>
      <c r="E29">
        <f t="shared" ref="E29:E33" si="31">E21</f>
        <v>23.4</v>
      </c>
      <c r="F29" s="12">
        <f t="shared" ref="F29:F33" si="32">D29*E29/100</f>
        <v>143.249301</v>
      </c>
      <c r="G29" s="12">
        <f t="shared" ref="G29:G33" si="33">D29-F29</f>
        <v>468.92719900000003</v>
      </c>
      <c r="J29" s="12">
        <f>'KA07'!$J$26</f>
        <v>0</v>
      </c>
      <c r="K29" s="12">
        <f>'KA07'!$K$26</f>
        <v>0</v>
      </c>
      <c r="V29" s="12">
        <f>'KA05'!V26</f>
        <v>98.120000000000019</v>
      </c>
      <c r="W29" s="12">
        <f>'KA05'!X26</f>
        <v>220.34999999999997</v>
      </c>
      <c r="X29" s="12">
        <f>'ka09'!Z26</f>
        <v>0</v>
      </c>
      <c r="Y29" s="12">
        <f>'ka09'!AB26</f>
        <v>0</v>
      </c>
      <c r="Z29" s="12">
        <f>'ka09'!AD26</f>
        <v>0</v>
      </c>
    </row>
    <row r="30" spans="1:30" x14ac:dyDescent="0.25">
      <c r="A30">
        <v>15</v>
      </c>
      <c r="B30" s="12">
        <f t="shared" si="28"/>
        <v>728</v>
      </c>
      <c r="C30" s="12">
        <f t="shared" si="29"/>
        <v>81.171999999999997</v>
      </c>
      <c r="D30" s="12">
        <f t="shared" si="30"/>
        <v>646.82799999999997</v>
      </c>
      <c r="E30">
        <f t="shared" si="31"/>
        <v>23.4</v>
      </c>
      <c r="F30" s="12">
        <f t="shared" si="32"/>
        <v>151.35775199999998</v>
      </c>
      <c r="G30" s="12">
        <f t="shared" si="33"/>
        <v>495.47024799999997</v>
      </c>
      <c r="J30" s="12">
        <f>'KA03'!$J$26</f>
        <v>0</v>
      </c>
      <c r="K30" s="12">
        <f>'KA03'!$K$26</f>
        <v>0</v>
      </c>
      <c r="V30" s="12">
        <f>'KA07'!V26</f>
        <v>0</v>
      </c>
      <c r="W30" s="12">
        <f>'KA07'!X26</f>
        <v>0</v>
      </c>
      <c r="X30" s="12">
        <f>'KA05'!Z26</f>
        <v>410.1</v>
      </c>
      <c r="Y30" s="12">
        <f>'KA05'!AB26</f>
        <v>786.25</v>
      </c>
      <c r="Z30" s="12">
        <f>'KA05'!AD26</f>
        <v>700.98312499999997</v>
      </c>
    </row>
    <row r="31" spans="1:30" x14ac:dyDescent="0.25">
      <c r="A31">
        <v>21</v>
      </c>
      <c r="B31" s="12">
        <f t="shared" si="28"/>
        <v>780</v>
      </c>
      <c r="C31" s="12">
        <f t="shared" si="29"/>
        <v>86.97</v>
      </c>
      <c r="D31" s="12">
        <f t="shared" si="30"/>
        <v>693.03</v>
      </c>
      <c r="E31">
        <f t="shared" si="31"/>
        <v>23.4</v>
      </c>
      <c r="F31" s="12">
        <f t="shared" si="32"/>
        <v>162.16901999999999</v>
      </c>
      <c r="G31" s="12">
        <f t="shared" si="33"/>
        <v>530.86097999999993</v>
      </c>
      <c r="J31" s="12">
        <f>'KA04'!$J$26</f>
        <v>0</v>
      </c>
      <c r="K31" s="12">
        <f>'KA04'!$K$26</f>
        <v>0</v>
      </c>
      <c r="V31" s="12">
        <f>'KA08'!V26</f>
        <v>0</v>
      </c>
      <c r="W31" s="12">
        <f>'KA08'!X26</f>
        <v>0</v>
      </c>
      <c r="X31" s="12">
        <f>'KA06'!Z26</f>
        <v>0</v>
      </c>
      <c r="Y31" s="12">
        <f>'KA06'!AB26</f>
        <v>0</v>
      </c>
      <c r="Z31" s="12">
        <f>'KA06'!AD26</f>
        <v>0</v>
      </c>
    </row>
    <row r="32" spans="1:30" x14ac:dyDescent="0.25">
      <c r="A32">
        <v>28</v>
      </c>
      <c r="B32" s="12">
        <f t="shared" si="28"/>
        <v>806</v>
      </c>
      <c r="C32" s="12">
        <f t="shared" si="29"/>
        <v>89.869</v>
      </c>
      <c r="D32" s="12">
        <f t="shared" si="30"/>
        <v>716.13099999999997</v>
      </c>
      <c r="E32">
        <f t="shared" si="31"/>
        <v>23.4</v>
      </c>
      <c r="F32" s="12">
        <f t="shared" si="32"/>
        <v>167.57465399999998</v>
      </c>
      <c r="G32" s="12">
        <f t="shared" si="33"/>
        <v>548.55634599999996</v>
      </c>
      <c r="J32" s="12">
        <f>'KA06'!$J$26</f>
        <v>0</v>
      </c>
      <c r="K32" s="12">
        <f>'KA06'!$K$26</f>
        <v>0</v>
      </c>
      <c r="V32" s="12">
        <f>'KA06'!V26</f>
        <v>0</v>
      </c>
      <c r="W32" s="12">
        <f>'KA06'!X26</f>
        <v>0</v>
      </c>
      <c r="X32" s="12">
        <f>'KA07'!Z26</f>
        <v>0</v>
      </c>
      <c r="Y32" s="12">
        <f>'KA07'!AB26</f>
        <v>0</v>
      </c>
      <c r="Z32" s="12">
        <f>'KA07'!AD26</f>
        <v>0</v>
      </c>
    </row>
    <row r="33" spans="1:26" x14ac:dyDescent="0.25">
      <c r="A33">
        <v>35</v>
      </c>
      <c r="B33" s="12">
        <f t="shared" si="28"/>
        <v>832</v>
      </c>
      <c r="C33" s="12">
        <f t="shared" si="29"/>
        <v>92.768000000000015</v>
      </c>
      <c r="D33" s="12">
        <f t="shared" si="30"/>
        <v>739.23199999999997</v>
      </c>
      <c r="E33">
        <f t="shared" si="31"/>
        <v>23.4</v>
      </c>
      <c r="F33" s="12">
        <f t="shared" si="32"/>
        <v>172.980288</v>
      </c>
      <c r="G33" s="12">
        <f t="shared" si="33"/>
        <v>566.251712</v>
      </c>
      <c r="J33" s="12">
        <f>'ka09'!$J$26</f>
        <v>0</v>
      </c>
      <c r="K33" s="12">
        <f>'ka09'!$K$26</f>
        <v>0</v>
      </c>
      <c r="V33" s="12">
        <f>'ka09'!V26</f>
        <v>0</v>
      </c>
      <c r="W33" s="12">
        <f>'ka09'!X26</f>
        <v>0</v>
      </c>
      <c r="X33" s="12">
        <f>'KA08'!Z26</f>
        <v>0</v>
      </c>
      <c r="Y33" s="12">
        <f>'KA08'!AB26</f>
        <v>0</v>
      </c>
      <c r="Z33" s="12">
        <f>'KA08'!AD26</f>
        <v>0</v>
      </c>
    </row>
    <row r="35" spans="1:26" x14ac:dyDescent="0.25">
      <c r="B35">
        <v>2021</v>
      </c>
      <c r="C35" t="s">
        <v>23</v>
      </c>
      <c r="D35" t="s">
        <v>24</v>
      </c>
      <c r="E35" t="s">
        <v>25</v>
      </c>
      <c r="F35" t="s">
        <v>26</v>
      </c>
      <c r="G35" t="s">
        <v>8</v>
      </c>
      <c r="J35" s="12">
        <f>SUM(J26:J34)</f>
        <v>876.06099999999981</v>
      </c>
      <c r="K35" s="12">
        <f>SUM(K26:K34)</f>
        <v>700.98312499999997</v>
      </c>
      <c r="V35" s="12">
        <f>SUM(V26:V34)</f>
        <v>98.120000000000019</v>
      </c>
      <c r="W35" s="12">
        <f>SUM(W26:W34)</f>
        <v>220.34999999999997</v>
      </c>
      <c r="X35" s="12">
        <f>SUM(X26:X34)</f>
        <v>410.1</v>
      </c>
      <c r="Y35" s="12">
        <f>SUM(Y26:Y34)</f>
        <v>786.25</v>
      </c>
      <c r="Z35" s="12">
        <f>SUM(Z26:Z34)</f>
        <v>700.98312499999997</v>
      </c>
    </row>
    <row r="36" spans="1:26" x14ac:dyDescent="0.25">
      <c r="A36">
        <v>0</v>
      </c>
      <c r="B36" s="12">
        <f>B28</f>
        <v>637</v>
      </c>
      <c r="C36" s="12">
        <f>B36*11.15/100</f>
        <v>71.025500000000008</v>
      </c>
      <c r="D36" s="12">
        <f>B36-C36</f>
        <v>565.97450000000003</v>
      </c>
      <c r="E36">
        <v>25</v>
      </c>
      <c r="F36" s="12">
        <f>D36*E36/100</f>
        <v>141.49362500000001</v>
      </c>
      <c r="G36" s="12">
        <f>D36-F36+R2</f>
        <v>471.90457500000002</v>
      </c>
    </row>
    <row r="37" spans="1:26" x14ac:dyDescent="0.25">
      <c r="A37">
        <v>9</v>
      </c>
      <c r="B37" s="12">
        <f t="shared" ref="B37:B41" si="34">B29</f>
        <v>689</v>
      </c>
      <c r="C37" s="12">
        <f t="shared" ref="C37:C41" si="35">B37*11.15/100</f>
        <v>76.82350000000001</v>
      </c>
      <c r="D37" s="12">
        <f t="shared" ref="D37:D41" si="36">B37-C37</f>
        <v>612.17650000000003</v>
      </c>
      <c r="E37">
        <v>25</v>
      </c>
      <c r="F37" s="12">
        <f t="shared" ref="F37:F41" si="37">D37*E37/100</f>
        <v>153.04412500000001</v>
      </c>
      <c r="G37" s="12">
        <f t="shared" ref="G37:G41" si="38">D37-F37+R3</f>
        <v>506.55607500000002</v>
      </c>
    </row>
    <row r="38" spans="1:26" x14ac:dyDescent="0.25">
      <c r="A38">
        <v>15</v>
      </c>
      <c r="B38" s="12">
        <f t="shared" si="34"/>
        <v>728</v>
      </c>
      <c r="C38" s="12">
        <f t="shared" si="35"/>
        <v>81.171999999999997</v>
      </c>
      <c r="D38" s="12">
        <f t="shared" si="36"/>
        <v>646.82799999999997</v>
      </c>
      <c r="E38">
        <v>25</v>
      </c>
      <c r="F38" s="12">
        <f t="shared" si="37"/>
        <v>161.70699999999999</v>
      </c>
      <c r="G38" s="12">
        <f t="shared" si="38"/>
        <v>532.54469999999992</v>
      </c>
    </row>
    <row r="39" spans="1:26" x14ac:dyDescent="0.25">
      <c r="A39">
        <v>21</v>
      </c>
      <c r="B39" s="12">
        <f t="shared" si="34"/>
        <v>780</v>
      </c>
      <c r="C39" s="12">
        <f t="shared" si="35"/>
        <v>86.97</v>
      </c>
      <c r="D39" s="12">
        <f t="shared" si="36"/>
        <v>693.03</v>
      </c>
      <c r="E39">
        <v>25</v>
      </c>
      <c r="F39" s="12">
        <f t="shared" si="37"/>
        <v>173.25749999999999</v>
      </c>
      <c r="G39" s="12">
        <f t="shared" si="38"/>
        <v>567.19619999999998</v>
      </c>
    </row>
    <row r="40" spans="1:26" x14ac:dyDescent="0.25">
      <c r="A40">
        <v>28</v>
      </c>
      <c r="B40" s="12">
        <f t="shared" si="34"/>
        <v>806</v>
      </c>
      <c r="C40" s="12">
        <f t="shared" si="35"/>
        <v>89.869</v>
      </c>
      <c r="D40" s="12">
        <f t="shared" si="36"/>
        <v>716.13099999999997</v>
      </c>
      <c r="E40">
        <v>25</v>
      </c>
      <c r="F40" s="12">
        <f t="shared" si="37"/>
        <v>179.03274999999996</v>
      </c>
      <c r="G40" s="12">
        <f t="shared" si="38"/>
        <v>584.52194999999995</v>
      </c>
    </row>
    <row r="41" spans="1:26" x14ac:dyDescent="0.25">
      <c r="A41">
        <v>35</v>
      </c>
      <c r="B41" s="12">
        <f t="shared" si="34"/>
        <v>832</v>
      </c>
      <c r="C41" s="12">
        <f t="shared" si="35"/>
        <v>92.768000000000015</v>
      </c>
      <c r="D41" s="12">
        <f t="shared" si="36"/>
        <v>739.23199999999997</v>
      </c>
      <c r="E41">
        <v>25</v>
      </c>
      <c r="F41" s="12">
        <f t="shared" si="37"/>
        <v>184.80799999999999</v>
      </c>
      <c r="G41" s="12">
        <f t="shared" si="38"/>
        <v>601.84769999999992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97F5-7456-4ABC-B2A7-DF6EE7C1E3D9}">
  <dimension ref="A1:AD41"/>
  <sheetViews>
    <sheetView topLeftCell="C1" workbookViewId="0">
      <selection activeCell="L22" sqref="L22"/>
    </sheetView>
  </sheetViews>
  <sheetFormatPr defaultRowHeight="15" x14ac:dyDescent="0.25"/>
  <cols>
    <col min="6" max="6" width="11" bestFit="1" customWidth="1"/>
    <col min="7" max="7" width="9.42578125" bestFit="1" customWidth="1"/>
    <col min="10" max="10" width="11" bestFit="1" customWidth="1"/>
    <col min="11" max="11" width="9.42578125" bestFit="1" customWidth="1"/>
    <col min="14" max="14" width="11" bestFit="1" customWidth="1"/>
    <col min="19" max="19" width="11.7109375" bestFit="1" customWidth="1"/>
    <col min="20" max="20" width="11" bestFit="1" customWidth="1"/>
    <col min="21" max="23" width="9.42578125" bestFit="1" customWidth="1"/>
    <col min="25" max="25" width="9.42578125" bestFit="1" customWidth="1"/>
    <col min="26" max="27" width="11" bestFit="1" customWidth="1"/>
    <col min="28" max="29" width="9.42578125" bestFit="1" customWidth="1"/>
    <col min="30" max="30" width="11" bestFit="1" customWidth="1"/>
  </cols>
  <sheetData>
    <row r="1" spans="1:30" x14ac:dyDescent="0.25">
      <c r="B1" s="1">
        <v>2019</v>
      </c>
      <c r="C1" s="1">
        <v>2020</v>
      </c>
      <c r="D1" s="1">
        <v>2021</v>
      </c>
      <c r="E1" s="3">
        <v>2022</v>
      </c>
      <c r="F1" s="1" t="s">
        <v>2</v>
      </c>
      <c r="G1" s="3" t="s">
        <v>1</v>
      </c>
      <c r="H1" s="1" t="s">
        <v>3</v>
      </c>
      <c r="I1" s="3" t="s">
        <v>3</v>
      </c>
      <c r="J1" s="1" t="s">
        <v>4</v>
      </c>
      <c r="K1" s="3" t="s">
        <v>4</v>
      </c>
      <c r="L1" s="1" t="s">
        <v>5</v>
      </c>
      <c r="M1" s="3" t="s">
        <v>6</v>
      </c>
      <c r="N1" s="1" t="s">
        <v>5</v>
      </c>
      <c r="O1" s="3" t="s">
        <v>6</v>
      </c>
      <c r="P1" s="3" t="s">
        <v>7</v>
      </c>
      <c r="Q1" s="3" t="s">
        <v>4</v>
      </c>
      <c r="R1" s="3" t="s">
        <v>8</v>
      </c>
      <c r="S1" s="9" t="s">
        <v>9</v>
      </c>
      <c r="T1" s="3" t="s">
        <v>27</v>
      </c>
      <c r="U1" s="3" t="s">
        <v>6</v>
      </c>
    </row>
    <row r="2" spans="1:30" x14ac:dyDescent="0.25">
      <c r="A2" t="s">
        <v>10</v>
      </c>
      <c r="B2" s="2">
        <v>13.5</v>
      </c>
      <c r="C2" s="2">
        <v>24.8</v>
      </c>
      <c r="D2" s="2">
        <v>55</v>
      </c>
      <c r="E2" s="4">
        <f>D2</f>
        <v>55</v>
      </c>
      <c r="F2" s="2">
        <f>($B$2+$C$2+$D$2)*13-6.09*3-10.15*33</f>
        <v>859.67999999999984</v>
      </c>
      <c r="G2" s="4">
        <f>E2*13-10.15*13</f>
        <v>583.04999999999995</v>
      </c>
      <c r="H2" s="2">
        <f t="shared" ref="H2:I4" si="0">F2*11.15%</f>
        <v>95.854319999999987</v>
      </c>
      <c r="I2" s="5">
        <f t="shared" si="0"/>
        <v>65.010075000000001</v>
      </c>
      <c r="J2" s="6">
        <f t="shared" ref="J2:J4" si="1">F2-H2</f>
        <v>763.82567999999981</v>
      </c>
      <c r="K2" s="5">
        <f>G2-I2+Q2</f>
        <v>587.81272499999989</v>
      </c>
      <c r="L2" s="1">
        <v>24</v>
      </c>
      <c r="M2" s="3">
        <v>25</v>
      </c>
      <c r="N2" s="7">
        <f t="shared" ref="N2:O4" si="2">J2*(100-L2)/100</f>
        <v>580.50751679999985</v>
      </c>
      <c r="O2" s="8">
        <f t="shared" si="2"/>
        <v>440.85954374999994</v>
      </c>
      <c r="P2" s="4">
        <f>6.4*12</f>
        <v>76.800000000000011</v>
      </c>
      <c r="Q2" s="5">
        <f>P2*(100-9.15)/100</f>
        <v>69.772800000000004</v>
      </c>
      <c r="R2" s="5">
        <f>Q2*(100-M2)/100</f>
        <v>52.329599999999999</v>
      </c>
      <c r="S2" s="10">
        <f>N2+O2+R2</f>
        <v>1073.6966605499997</v>
      </c>
      <c r="T2" s="14">
        <f>IF(Foglio1!$G$7=0,'KA03'!J2,0)</f>
        <v>763.82567999999981</v>
      </c>
      <c r="U2" s="14">
        <f>IF(Foglio1!$G$7=0,'KA03'!K2,0)</f>
        <v>587.81272499999989</v>
      </c>
    </row>
    <row r="3" spans="1:30" x14ac:dyDescent="0.25">
      <c r="A3">
        <v>9</v>
      </c>
      <c r="B3" s="2">
        <v>14.8</v>
      </c>
      <c r="C3" s="2">
        <v>27.3</v>
      </c>
      <c r="D3" s="2">
        <v>60</v>
      </c>
      <c r="E3" s="4">
        <f>D3</f>
        <v>60</v>
      </c>
      <c r="F3" s="2">
        <f>($B$3+$C$3+$D$3)*13-6.71*3-11.18*33</f>
        <v>938.22999999999979</v>
      </c>
      <c r="G3" s="4">
        <f>E3*13-11.18*13</f>
        <v>634.66</v>
      </c>
      <c r="H3" s="2">
        <f t="shared" si="0"/>
        <v>104.61264499999997</v>
      </c>
      <c r="I3" s="5">
        <f t="shared" si="0"/>
        <v>70.764589999999998</v>
      </c>
      <c r="J3" s="6">
        <f t="shared" si="1"/>
        <v>833.61735499999986</v>
      </c>
      <c r="K3" s="5">
        <f t="shared" ref="K3:K7" si="3">G3-I3+Q3</f>
        <v>633.66820999999993</v>
      </c>
      <c r="L3" s="1">
        <v>24</v>
      </c>
      <c r="M3" s="3">
        <v>25</v>
      </c>
      <c r="N3" s="7">
        <f t="shared" si="2"/>
        <v>633.54918979999991</v>
      </c>
      <c r="O3" s="8">
        <f t="shared" si="2"/>
        <v>475.25115749999998</v>
      </c>
      <c r="P3" s="4">
        <f>6.4*12</f>
        <v>76.800000000000011</v>
      </c>
      <c r="Q3" s="5">
        <f>P3*(100-9.15)/100</f>
        <v>69.772800000000004</v>
      </c>
      <c r="R3" s="5">
        <f>Q3*(100-M3)/100</f>
        <v>52.329599999999999</v>
      </c>
      <c r="S3" s="10">
        <f>N3+O3+R3</f>
        <v>1161.1299472999999</v>
      </c>
      <c r="T3" s="14">
        <f>IF(Foglio1!$G$7=9,'KA03'!J3,0)</f>
        <v>0</v>
      </c>
      <c r="U3" s="14">
        <f>IF(Foglio1!$G$7=9,'KA03'!K3,0)</f>
        <v>0</v>
      </c>
    </row>
    <row r="4" spans="1:30" x14ac:dyDescent="0.25">
      <c r="A4">
        <v>15</v>
      </c>
      <c r="B4" s="2">
        <v>15.9</v>
      </c>
      <c r="C4" s="2">
        <v>29.2</v>
      </c>
      <c r="D4" s="2">
        <v>65</v>
      </c>
      <c r="E4" s="4">
        <f>D4</f>
        <v>65</v>
      </c>
      <c r="F4" s="2">
        <f>($B$4+$C$4+$D$4)*13-7.17*3-11.95*33</f>
        <v>1015.44</v>
      </c>
      <c r="G4" s="4">
        <f>E4*13-11.95*13</f>
        <v>689.65</v>
      </c>
      <c r="H4" s="2">
        <f t="shared" si="0"/>
        <v>113.22156000000001</v>
      </c>
      <c r="I4" s="5">
        <f t="shared" si="0"/>
        <v>76.895974999999993</v>
      </c>
      <c r="J4" s="6">
        <f t="shared" si="1"/>
        <v>902.2184400000001</v>
      </c>
      <c r="K4" s="5">
        <f t="shared" si="3"/>
        <v>682.52682499999992</v>
      </c>
      <c r="L4" s="1">
        <v>24</v>
      </c>
      <c r="M4" s="3">
        <v>25</v>
      </c>
      <c r="N4" s="7">
        <f t="shared" si="2"/>
        <v>685.68601440000009</v>
      </c>
      <c r="O4" s="8">
        <f t="shared" si="2"/>
        <v>511.89511874999994</v>
      </c>
      <c r="P4" s="4">
        <f>6.4*12</f>
        <v>76.800000000000011</v>
      </c>
      <c r="Q4" s="5">
        <f>P4*(100-9.15)/100</f>
        <v>69.772800000000004</v>
      </c>
      <c r="R4" s="5">
        <f>Q4*(100-M4)/100</f>
        <v>52.329599999999999</v>
      </c>
      <c r="S4" s="10">
        <f>N4+O4+R4</f>
        <v>1249.9107331499999</v>
      </c>
      <c r="T4" s="14">
        <f>IF(Foglio1!$G$7=15,'KA03'!J4,0)</f>
        <v>0</v>
      </c>
      <c r="U4" s="14">
        <f>IF(Foglio1!$G$7=15,'KA03'!K4,0)</f>
        <v>0</v>
      </c>
    </row>
    <row r="5" spans="1:30" x14ac:dyDescent="0.25">
      <c r="A5">
        <v>21</v>
      </c>
      <c r="B5" s="2">
        <v>16.899999999999999</v>
      </c>
      <c r="C5" s="2">
        <v>31.1</v>
      </c>
      <c r="D5" s="2">
        <v>69</v>
      </c>
      <c r="E5" s="4">
        <f t="shared" ref="E5:E7" si="4">D5</f>
        <v>69</v>
      </c>
      <c r="F5" s="2">
        <f>($B$5+$C$5+$D$5)*13-7.63*3-12.72*33</f>
        <v>1078.3499999999999</v>
      </c>
      <c r="G5" s="4">
        <f>E5*13-12.72*13</f>
        <v>731.64</v>
      </c>
      <c r="H5" s="2">
        <f t="shared" ref="H5:H7" si="5">F5*11.15%</f>
        <v>120.236025</v>
      </c>
      <c r="I5" s="5">
        <f t="shared" ref="I5:I7" si="6">G5*11.15%</f>
        <v>81.577860000000001</v>
      </c>
      <c r="J5" s="6">
        <f t="shared" ref="J5:J7" si="7">F5-H5</f>
        <v>958.11397499999987</v>
      </c>
      <c r="K5" s="5">
        <f t="shared" si="3"/>
        <v>719.83493999999996</v>
      </c>
      <c r="L5" s="1">
        <v>24</v>
      </c>
      <c r="M5" s="3">
        <v>25</v>
      </c>
      <c r="N5" s="7">
        <f t="shared" ref="N5:N7" si="8">J5*(100-L5)/100</f>
        <v>728.16662099999985</v>
      </c>
      <c r="O5" s="8">
        <f t="shared" ref="O5:O7" si="9">K5*(100-M5)/100</f>
        <v>539.87620500000003</v>
      </c>
      <c r="P5" s="4">
        <f t="shared" ref="P5:P7" si="10">6.4*12</f>
        <v>76.800000000000011</v>
      </c>
      <c r="Q5" s="5">
        <f t="shared" ref="Q5:Q7" si="11">P5*(100-9.15)/100</f>
        <v>69.772800000000004</v>
      </c>
      <c r="R5" s="5">
        <f t="shared" ref="R5:R7" si="12">Q5*(100-M5)/100</f>
        <v>52.329599999999999</v>
      </c>
      <c r="S5" s="10">
        <f t="shared" ref="S5:S7" si="13">N5+O5+R5</f>
        <v>1320.3724259999999</v>
      </c>
      <c r="T5" s="14">
        <f>IF(Foglio1!$G$7=21,'KA03'!J5,0)</f>
        <v>0</v>
      </c>
      <c r="U5" s="14">
        <f>IF(Foglio1!$G$7=21,'KA03'!K5,0)</f>
        <v>0</v>
      </c>
    </row>
    <row r="6" spans="1:30" x14ac:dyDescent="0.25">
      <c r="A6">
        <v>28</v>
      </c>
      <c r="B6" s="2">
        <v>17.600000000000001</v>
      </c>
      <c r="C6" s="2">
        <v>32.4</v>
      </c>
      <c r="D6" s="2">
        <v>72</v>
      </c>
      <c r="E6" s="4">
        <f t="shared" si="4"/>
        <v>72</v>
      </c>
      <c r="F6" s="2">
        <f>($B$6+$C$6+$D$6)*13-7.76*3-13.27*33</f>
        <v>1124.81</v>
      </c>
      <c r="G6" s="4">
        <f>E6*13-13.27*13</f>
        <v>763.49</v>
      </c>
      <c r="H6" s="2">
        <f t="shared" si="5"/>
        <v>125.416315</v>
      </c>
      <c r="I6" s="5">
        <f t="shared" si="6"/>
        <v>85.129135000000005</v>
      </c>
      <c r="J6" s="6">
        <f t="shared" si="7"/>
        <v>999.393685</v>
      </c>
      <c r="K6" s="5">
        <f t="shared" si="3"/>
        <v>748.13366499999995</v>
      </c>
      <c r="L6" s="1">
        <v>24</v>
      </c>
      <c r="M6" s="3">
        <v>25</v>
      </c>
      <c r="N6" s="7">
        <f t="shared" si="8"/>
        <v>759.53920060000007</v>
      </c>
      <c r="O6" s="8">
        <f t="shared" si="9"/>
        <v>561.10024874999999</v>
      </c>
      <c r="P6" s="4">
        <f t="shared" si="10"/>
        <v>76.800000000000011</v>
      </c>
      <c r="Q6" s="5">
        <f t="shared" si="11"/>
        <v>69.772800000000004</v>
      </c>
      <c r="R6" s="5">
        <f t="shared" si="12"/>
        <v>52.329599999999999</v>
      </c>
      <c r="S6" s="10">
        <f t="shared" si="13"/>
        <v>1372.9690493500002</v>
      </c>
      <c r="T6" s="14">
        <f>IF(Foglio1!$G$7=28,'KA03'!J6,0)</f>
        <v>0</v>
      </c>
      <c r="U6" s="14">
        <f>IF(Foglio1!$G$7=28,'KA03'!K6,0)</f>
        <v>0</v>
      </c>
    </row>
    <row r="7" spans="1:30" x14ac:dyDescent="0.25">
      <c r="A7">
        <v>35</v>
      </c>
      <c r="B7" s="2">
        <v>18.2</v>
      </c>
      <c r="C7" s="2">
        <v>33.5</v>
      </c>
      <c r="D7" s="2">
        <v>74</v>
      </c>
      <c r="E7" s="4">
        <f t="shared" si="4"/>
        <v>74</v>
      </c>
      <c r="F7" s="2">
        <f>($B$7+$C$7+$D$7)*13-8.21*3-13.69*33</f>
        <v>1157.7</v>
      </c>
      <c r="G7" s="4">
        <f>E7*13-13.69*13</f>
        <v>784.03</v>
      </c>
      <c r="H7" s="2">
        <f t="shared" si="5"/>
        <v>129.08355</v>
      </c>
      <c r="I7" s="5">
        <f t="shared" si="6"/>
        <v>87.419344999999993</v>
      </c>
      <c r="J7" s="6">
        <f t="shared" si="7"/>
        <v>1028.61645</v>
      </c>
      <c r="K7" s="5">
        <f t="shared" si="3"/>
        <v>766.38345499999991</v>
      </c>
      <c r="L7" s="1">
        <v>24</v>
      </c>
      <c r="M7" s="3">
        <v>25</v>
      </c>
      <c r="N7" s="7">
        <f t="shared" si="8"/>
        <v>781.74850200000003</v>
      </c>
      <c r="O7" s="8">
        <f t="shared" si="9"/>
        <v>574.78759124999999</v>
      </c>
      <c r="P7" s="4">
        <f t="shared" si="10"/>
        <v>76.800000000000011</v>
      </c>
      <c r="Q7" s="5">
        <f t="shared" si="11"/>
        <v>69.772800000000004</v>
      </c>
      <c r="R7" s="5">
        <f t="shared" si="12"/>
        <v>52.329599999999999</v>
      </c>
      <c r="S7" s="10">
        <f t="shared" si="13"/>
        <v>1408.86569325</v>
      </c>
      <c r="T7" s="14">
        <f>IF(Foglio1!$G$7=35,'KA03'!J7,0)</f>
        <v>0</v>
      </c>
      <c r="U7" s="14">
        <f>IF(Foglio1!$G$7=35,'KA03'!K7,0)</f>
        <v>0</v>
      </c>
    </row>
    <row r="8" spans="1:30" x14ac:dyDescent="0.25">
      <c r="T8" s="12">
        <f>SUM(T2:T7)</f>
        <v>763.82567999999981</v>
      </c>
      <c r="U8" s="12">
        <f>SUM(U2:U7)</f>
        <v>587.81272499999989</v>
      </c>
    </row>
    <row r="11" spans="1:30" x14ac:dyDescent="0.25">
      <c r="B11">
        <v>2019</v>
      </c>
      <c r="C11" t="s">
        <v>23</v>
      </c>
      <c r="D11" t="s">
        <v>24</v>
      </c>
      <c r="E11" t="s">
        <v>25</v>
      </c>
      <c r="F11" t="s">
        <v>26</v>
      </c>
      <c r="G11" t="s">
        <v>8</v>
      </c>
    </row>
    <row r="12" spans="1:30" x14ac:dyDescent="0.25">
      <c r="A12">
        <v>0</v>
      </c>
      <c r="B12" s="12">
        <f>B2*13</f>
        <v>175.5</v>
      </c>
      <c r="C12" s="12">
        <f>B12*11.15/100</f>
        <v>19.568249999999999</v>
      </c>
      <c r="D12" s="12">
        <f>B12-C12</f>
        <v>155.93174999999999</v>
      </c>
      <c r="E12">
        <f>L2</f>
        <v>24</v>
      </c>
      <c r="F12" s="12">
        <f>D12*E12/100</f>
        <v>37.42362</v>
      </c>
      <c r="G12" s="12">
        <f>D12-F12</f>
        <v>118.50812999999999</v>
      </c>
    </row>
    <row r="13" spans="1:30" x14ac:dyDescent="0.25">
      <c r="A13">
        <v>9</v>
      </c>
      <c r="B13" s="12">
        <f t="shared" ref="B13:B17" si="14">B3*13</f>
        <v>192.4</v>
      </c>
      <c r="C13" s="12">
        <f t="shared" ref="C13:C17" si="15">B13*11.15/100</f>
        <v>21.452600000000004</v>
      </c>
      <c r="D13" s="12">
        <f t="shared" ref="D13:D17" si="16">B13-C13</f>
        <v>170.94740000000002</v>
      </c>
      <c r="E13">
        <f t="shared" ref="E13:E17" si="17">L3</f>
        <v>24</v>
      </c>
      <c r="F13" s="12">
        <f t="shared" ref="F13:F17" si="18">D13*E13/100</f>
        <v>41.027376000000004</v>
      </c>
      <c r="G13" s="12">
        <f t="shared" ref="G13:G17" si="19">D13-F13</f>
        <v>129.92002400000001</v>
      </c>
      <c r="U13" s="1">
        <v>2019</v>
      </c>
      <c r="V13" s="3" t="s">
        <v>27</v>
      </c>
      <c r="W13" s="1">
        <v>2020</v>
      </c>
      <c r="X13" s="3" t="s">
        <v>27</v>
      </c>
      <c r="Y13" s="1">
        <v>2021</v>
      </c>
      <c r="Z13" s="3" t="s">
        <v>27</v>
      </c>
      <c r="AA13" s="3">
        <v>2022</v>
      </c>
      <c r="AB13" s="3" t="s">
        <v>27</v>
      </c>
      <c r="AC13" s="3" t="s">
        <v>52</v>
      </c>
      <c r="AD13" s="3" t="s">
        <v>27</v>
      </c>
    </row>
    <row r="14" spans="1:30" x14ac:dyDescent="0.25">
      <c r="A14">
        <v>15</v>
      </c>
      <c r="B14" s="12">
        <f t="shared" si="14"/>
        <v>206.70000000000002</v>
      </c>
      <c r="C14" s="12">
        <f t="shared" si="15"/>
        <v>23.047050000000002</v>
      </c>
      <c r="D14" s="12">
        <f t="shared" si="16"/>
        <v>183.65295</v>
      </c>
      <c r="E14">
        <f t="shared" si="17"/>
        <v>24</v>
      </c>
      <c r="F14" s="12">
        <f t="shared" si="18"/>
        <v>44.076707999999996</v>
      </c>
      <c r="G14" s="12">
        <f t="shared" si="19"/>
        <v>139.57624200000001</v>
      </c>
      <c r="U14" s="2">
        <f>($B$2)*13-6.09*3-10.15*7</f>
        <v>86.179999999999993</v>
      </c>
      <c r="V14" s="14">
        <f>IF(Foglio1!$G$7=0,'KA03'!U14,0)</f>
        <v>86.179999999999993</v>
      </c>
      <c r="W14" s="2">
        <f>($C$2)*13-10.15*13</f>
        <v>190.45000000000002</v>
      </c>
      <c r="X14" s="14">
        <f>IF(Foglio1!$G$7=0,'KA03'!W14,0)</f>
        <v>190.45000000000002</v>
      </c>
      <c r="Y14" s="2">
        <f>($D$2)*13-10.15*13</f>
        <v>583.04999999999995</v>
      </c>
      <c r="Z14" s="14">
        <f>IF(Foglio1!$G$7=0,'KA03'!Y14,0)</f>
        <v>583.04999999999995</v>
      </c>
      <c r="AA14" s="4">
        <f>G2+P2</f>
        <v>659.84999999999991</v>
      </c>
      <c r="AB14" s="14">
        <f>IF(Foglio1!$G$7=0,'KA03'!AA14,0)</f>
        <v>659.84999999999991</v>
      </c>
      <c r="AC14" s="12">
        <f>K2</f>
        <v>587.81272499999989</v>
      </c>
      <c r="AD14" s="14">
        <f>IF(Foglio1!$G$7=0,'KA03'!AC14,0)</f>
        <v>587.81272499999989</v>
      </c>
    </row>
    <row r="15" spans="1:30" x14ac:dyDescent="0.25">
      <c r="A15">
        <v>21</v>
      </c>
      <c r="B15" s="12">
        <f t="shared" si="14"/>
        <v>219.7</v>
      </c>
      <c r="C15" s="12">
        <f t="shared" si="15"/>
        <v>24.496549999999999</v>
      </c>
      <c r="D15" s="12">
        <f t="shared" si="16"/>
        <v>195.20344999999998</v>
      </c>
      <c r="E15">
        <f t="shared" si="17"/>
        <v>24</v>
      </c>
      <c r="F15" s="12">
        <f t="shared" si="18"/>
        <v>46.848827999999997</v>
      </c>
      <c r="G15" s="12">
        <f t="shared" si="19"/>
        <v>148.35462199999998</v>
      </c>
      <c r="U15" s="2">
        <f>($B$3)*13-6.71*3-11.18*7</f>
        <v>94.010000000000019</v>
      </c>
      <c r="V15" s="14">
        <f>IF(Foglio1!$G$7=9,'KA03'!U15,0)</f>
        <v>0</v>
      </c>
      <c r="W15" s="2">
        <f>($C$3)*13-11.18*13</f>
        <v>209.56000000000003</v>
      </c>
      <c r="X15" s="14">
        <f>IF(Foglio1!$G$7=9,'KA03'!W15,0)</f>
        <v>0</v>
      </c>
      <c r="Y15" s="2">
        <f>($D$3)*13-11.18*13</f>
        <v>634.66</v>
      </c>
      <c r="Z15" s="14">
        <f>IF(Foglio1!$G$7=9,'KA03'!Y15,0)</f>
        <v>0</v>
      </c>
      <c r="AA15" s="4">
        <f t="shared" ref="AA15:AA19" si="20">G3+P3</f>
        <v>711.46</v>
      </c>
      <c r="AB15" s="14">
        <f>IF(Foglio1!$G$7=9,'KA03'!AA15,0)</f>
        <v>0</v>
      </c>
      <c r="AC15" s="12">
        <f t="shared" ref="AC15:AC19" si="21">K3</f>
        <v>633.66820999999993</v>
      </c>
      <c r="AD15" s="14">
        <f>IF(Foglio1!$G$7=9,'KA03'!AC15,0)</f>
        <v>0</v>
      </c>
    </row>
    <row r="16" spans="1:30" x14ac:dyDescent="0.25">
      <c r="A16">
        <v>28</v>
      </c>
      <c r="B16" s="12">
        <f t="shared" si="14"/>
        <v>228.8</v>
      </c>
      <c r="C16" s="12">
        <f t="shared" si="15"/>
        <v>25.511200000000002</v>
      </c>
      <c r="D16" s="12">
        <f t="shared" si="16"/>
        <v>203.28880000000001</v>
      </c>
      <c r="E16">
        <f t="shared" si="17"/>
        <v>24</v>
      </c>
      <c r="F16" s="12">
        <f t="shared" si="18"/>
        <v>48.789312000000002</v>
      </c>
      <c r="G16" s="12">
        <f t="shared" si="19"/>
        <v>154.49948800000001</v>
      </c>
      <c r="U16" s="2">
        <f>($B$4)*13-7.17*3-11.95*7</f>
        <v>101.54000000000003</v>
      </c>
      <c r="V16" s="14">
        <f>IF(Foglio1!$G$7=15,'KA03'!U16,0)</f>
        <v>0</v>
      </c>
      <c r="W16" s="2">
        <f>($C$4)*13-11.95*13</f>
        <v>224.24999999999997</v>
      </c>
      <c r="X16" s="14">
        <f>IF(Foglio1!$G$7=15,'KA03'!W16,0)</f>
        <v>0</v>
      </c>
      <c r="Y16" s="2">
        <f>($D$4)*13-11.95*13</f>
        <v>689.65</v>
      </c>
      <c r="Z16" s="14">
        <f>IF(Foglio1!$G$7=15,'KA03'!Y16,0)</f>
        <v>0</v>
      </c>
      <c r="AA16" s="4">
        <f t="shared" si="20"/>
        <v>766.45</v>
      </c>
      <c r="AB16" s="14">
        <f>IF(Foglio1!$G$7=15,'KA03'!AA16,0)</f>
        <v>0</v>
      </c>
      <c r="AC16" s="12">
        <f t="shared" si="21"/>
        <v>682.52682499999992</v>
      </c>
      <c r="AD16" s="14">
        <f>IF(Foglio1!$G$7=15,'KA03'!AC16,0)</f>
        <v>0</v>
      </c>
    </row>
    <row r="17" spans="1:30" x14ac:dyDescent="0.25">
      <c r="A17">
        <v>35</v>
      </c>
      <c r="B17" s="12">
        <f t="shared" si="14"/>
        <v>236.6</v>
      </c>
      <c r="C17" s="12">
        <f t="shared" si="15"/>
        <v>26.3809</v>
      </c>
      <c r="D17" s="12">
        <f t="shared" si="16"/>
        <v>210.2191</v>
      </c>
      <c r="E17">
        <f t="shared" si="17"/>
        <v>24</v>
      </c>
      <c r="F17" s="12">
        <f t="shared" si="18"/>
        <v>50.452583999999995</v>
      </c>
      <c r="G17" s="12">
        <f t="shared" si="19"/>
        <v>159.766516</v>
      </c>
      <c r="U17" s="2">
        <f>($B$5)*13-7.63*3-12.72*7</f>
        <v>107.77</v>
      </c>
      <c r="V17" s="14">
        <f>IF(Foglio1!$G$7=21,'KA03'!U17,0)</f>
        <v>0</v>
      </c>
      <c r="W17" s="2">
        <f>($C$5)*13-12.72*13</f>
        <v>238.94</v>
      </c>
      <c r="X17" s="14">
        <f>IF(Foglio1!$G$7=21,'KA03'!W17,0)</f>
        <v>0</v>
      </c>
      <c r="Y17" s="2">
        <f>($D$5)*13-12.72*13</f>
        <v>731.64</v>
      </c>
      <c r="Z17" s="14">
        <f>IF(Foglio1!$G$7=21,'KA03'!Y17,0)</f>
        <v>0</v>
      </c>
      <c r="AA17" s="4">
        <f t="shared" si="20"/>
        <v>808.44</v>
      </c>
      <c r="AB17" s="14">
        <f>IF(Foglio1!$G$7=21,'KA03'!AA17,0)</f>
        <v>0</v>
      </c>
      <c r="AC17" s="12">
        <f t="shared" si="21"/>
        <v>719.83493999999996</v>
      </c>
      <c r="AD17" s="14">
        <f>IF(Foglio1!$G$7=21,'KA03'!AC17,0)</f>
        <v>0</v>
      </c>
    </row>
    <row r="18" spans="1:30" x14ac:dyDescent="0.25">
      <c r="U18" s="2">
        <f>($B$6)*13-7.76*3-13.27*7</f>
        <v>112.63000000000001</v>
      </c>
      <c r="V18" s="14">
        <f>IF(Foglio1!$G$7=28,'KA03'!U18,0)</f>
        <v>0</v>
      </c>
      <c r="W18" s="2">
        <f>($C$6)*13-13.27*13</f>
        <v>248.69</v>
      </c>
      <c r="X18" s="14">
        <f>IF(Foglio1!$G$7=28,'KA03'!W18,0)</f>
        <v>0</v>
      </c>
      <c r="Y18" s="2">
        <f>($D$6)*13-13.27*13</f>
        <v>763.49</v>
      </c>
      <c r="Z18" s="14">
        <f>IF(Foglio1!$G$7=28,'KA03'!Y18,0)</f>
        <v>0</v>
      </c>
      <c r="AA18" s="4">
        <f t="shared" si="20"/>
        <v>840.29</v>
      </c>
      <c r="AB18" s="14">
        <f>IF(Foglio1!$G$7=28,'KA03'!AA18,0)</f>
        <v>0</v>
      </c>
      <c r="AC18" s="12">
        <f t="shared" si="21"/>
        <v>748.13366499999995</v>
      </c>
      <c r="AD18" s="14">
        <f>IF(Foglio1!$G$7=28,'KA03'!AC18,0)</f>
        <v>0</v>
      </c>
    </row>
    <row r="19" spans="1:30" x14ac:dyDescent="0.25">
      <c r="B19">
        <v>2020</v>
      </c>
      <c r="C19" t="s">
        <v>23</v>
      </c>
      <c r="D19" t="s">
        <v>24</v>
      </c>
      <c r="E19" t="s">
        <v>25</v>
      </c>
      <c r="F19" t="s">
        <v>26</v>
      </c>
      <c r="G19" t="s">
        <v>8</v>
      </c>
      <c r="U19" s="2">
        <f>($B$7)*13-8.21*3-13.69*7</f>
        <v>116.14</v>
      </c>
      <c r="V19" s="14">
        <f>IF(Foglio1!$G$7=35,'KA03'!U19,0)</f>
        <v>0</v>
      </c>
      <c r="W19" s="2">
        <f>($C$7)*13-13.69*13</f>
        <v>257.52999999999997</v>
      </c>
      <c r="X19" s="14">
        <f>IF(Foglio1!$G$7=35,'KA03'!W19,0)</f>
        <v>0</v>
      </c>
      <c r="Y19" s="2">
        <f>($D$7)*13-13.69*13</f>
        <v>784.03</v>
      </c>
      <c r="Z19" s="14">
        <f>IF(Foglio1!$G$7=35,'KA03'!Y19,0)</f>
        <v>0</v>
      </c>
      <c r="AA19" s="4">
        <f t="shared" si="20"/>
        <v>860.82999999999993</v>
      </c>
      <c r="AB19" s="14">
        <f>IF(Foglio1!$G$7=35,'KA03'!AA19,0)</f>
        <v>0</v>
      </c>
      <c r="AC19" s="12">
        <f t="shared" si="21"/>
        <v>766.38345499999991</v>
      </c>
      <c r="AD19" s="14">
        <f>IF(Foglio1!$G$7=35,'KA03'!AC19,0)</f>
        <v>0</v>
      </c>
    </row>
    <row r="20" spans="1:30" x14ac:dyDescent="0.25">
      <c r="A20">
        <v>0</v>
      </c>
      <c r="B20" s="12">
        <f>C2*13</f>
        <v>322.40000000000003</v>
      </c>
      <c r="C20" s="12">
        <f>B20*11.15/100</f>
        <v>35.947600000000008</v>
      </c>
      <c r="D20" s="12">
        <f>B20-C20</f>
        <v>286.45240000000001</v>
      </c>
      <c r="E20">
        <f>E12</f>
        <v>24</v>
      </c>
      <c r="F20" s="12">
        <f>D20*E20/100</f>
        <v>68.748576</v>
      </c>
      <c r="G20" s="12">
        <f>D20-F20</f>
        <v>217.703824</v>
      </c>
      <c r="V20" s="12">
        <f>SUM(V14:V19)</f>
        <v>86.179999999999993</v>
      </c>
      <c r="X20" s="12">
        <f>SUM(X14:X19)</f>
        <v>190.45000000000002</v>
      </c>
      <c r="Z20" s="12">
        <f>SUM(Z14:Z19)</f>
        <v>583.04999999999995</v>
      </c>
      <c r="AB20" s="12">
        <f>SUM(AB14:AB19)</f>
        <v>659.84999999999991</v>
      </c>
      <c r="AD20" s="12">
        <f>SUM(AD14:AD19)</f>
        <v>587.81272499999989</v>
      </c>
    </row>
    <row r="21" spans="1:30" x14ac:dyDescent="0.25">
      <c r="A21">
        <v>9</v>
      </c>
      <c r="B21" s="12">
        <f t="shared" ref="B21:B25" si="22">C3*13</f>
        <v>354.90000000000003</v>
      </c>
      <c r="C21" s="12">
        <f t="shared" ref="C21:C25" si="23">B21*11.15/100</f>
        <v>39.57135000000001</v>
      </c>
      <c r="D21" s="12">
        <f t="shared" ref="D21:D25" si="24">B21-C21</f>
        <v>315.32865000000004</v>
      </c>
      <c r="E21">
        <f t="shared" ref="E21:E25" si="25">E13</f>
        <v>24</v>
      </c>
      <c r="F21" s="12">
        <f t="shared" ref="F21:F25" si="26">D21*E21/100</f>
        <v>75.678876000000002</v>
      </c>
      <c r="G21" s="12">
        <f t="shared" ref="G21:G25" si="27">D21-F21</f>
        <v>239.64977400000004</v>
      </c>
    </row>
    <row r="22" spans="1:30" x14ac:dyDescent="0.25">
      <c r="A22">
        <v>15</v>
      </c>
      <c r="B22" s="12">
        <f t="shared" si="22"/>
        <v>379.59999999999997</v>
      </c>
      <c r="C22" s="12">
        <f t="shared" si="23"/>
        <v>42.325400000000002</v>
      </c>
      <c r="D22" s="12">
        <f t="shared" si="24"/>
        <v>337.27459999999996</v>
      </c>
      <c r="E22">
        <f t="shared" si="25"/>
        <v>24</v>
      </c>
      <c r="F22" s="12">
        <f t="shared" si="26"/>
        <v>80.945903999999985</v>
      </c>
      <c r="G22" s="12">
        <f t="shared" si="27"/>
        <v>256.32869599999998</v>
      </c>
    </row>
    <row r="23" spans="1:30" x14ac:dyDescent="0.25">
      <c r="A23">
        <v>21</v>
      </c>
      <c r="B23" s="12">
        <f t="shared" si="22"/>
        <v>404.3</v>
      </c>
      <c r="C23" s="12">
        <f t="shared" si="23"/>
        <v>45.079450000000008</v>
      </c>
      <c r="D23" s="12">
        <f t="shared" si="24"/>
        <v>359.22055</v>
      </c>
      <c r="E23">
        <f t="shared" si="25"/>
        <v>24</v>
      </c>
      <c r="F23" s="12">
        <f t="shared" si="26"/>
        <v>86.212931999999995</v>
      </c>
      <c r="G23" s="12">
        <f t="shared" si="27"/>
        <v>273.00761799999998</v>
      </c>
      <c r="I23" s="49" t="s">
        <v>38</v>
      </c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</row>
    <row r="24" spans="1:30" x14ac:dyDescent="0.25">
      <c r="A24">
        <v>28</v>
      </c>
      <c r="B24" s="12">
        <f t="shared" si="22"/>
        <v>421.2</v>
      </c>
      <c r="C24" s="12">
        <f t="shared" si="23"/>
        <v>46.963799999999999</v>
      </c>
      <c r="D24" s="12">
        <f t="shared" si="24"/>
        <v>374.2362</v>
      </c>
      <c r="E24">
        <f t="shared" si="25"/>
        <v>24</v>
      </c>
      <c r="F24" s="12">
        <f t="shared" si="26"/>
        <v>89.816687999999999</v>
      </c>
      <c r="G24" s="12">
        <f t="shared" si="27"/>
        <v>284.419512</v>
      </c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</row>
    <row r="25" spans="1:30" x14ac:dyDescent="0.25">
      <c r="A25">
        <v>35</v>
      </c>
      <c r="B25" s="12">
        <f t="shared" si="22"/>
        <v>435.5</v>
      </c>
      <c r="C25" s="12">
        <f t="shared" si="23"/>
        <v>48.558250000000001</v>
      </c>
      <c r="D25" s="12">
        <f t="shared" si="24"/>
        <v>386.94175000000001</v>
      </c>
      <c r="E25">
        <f t="shared" si="25"/>
        <v>24</v>
      </c>
      <c r="F25" s="12">
        <f t="shared" si="26"/>
        <v>92.866020000000006</v>
      </c>
      <c r="G25" s="12">
        <f t="shared" si="27"/>
        <v>294.07573000000002</v>
      </c>
    </row>
    <row r="26" spans="1:30" x14ac:dyDescent="0.25">
      <c r="I26">
        <f>IF(Foglio1!A5='KA03'!I23,1,0)</f>
        <v>0</v>
      </c>
      <c r="J26" s="12">
        <f>T8*I26</f>
        <v>0</v>
      </c>
      <c r="K26" s="12">
        <f>U8*I26</f>
        <v>0</v>
      </c>
      <c r="V26" s="12">
        <f>V20*I26</f>
        <v>0</v>
      </c>
      <c r="X26" s="12">
        <f>I26*X20</f>
        <v>0</v>
      </c>
      <c r="Z26" s="12">
        <f>I26*Z20</f>
        <v>0</v>
      </c>
      <c r="AB26" s="12">
        <f>I26*AB20</f>
        <v>0</v>
      </c>
      <c r="AD26" s="12">
        <f>I26*AD20</f>
        <v>0</v>
      </c>
    </row>
    <row r="27" spans="1:30" x14ac:dyDescent="0.25">
      <c r="B27">
        <v>2020</v>
      </c>
      <c r="C27" t="s">
        <v>23</v>
      </c>
      <c r="D27" t="s">
        <v>24</v>
      </c>
      <c r="E27" t="s">
        <v>25</v>
      </c>
      <c r="F27" t="s">
        <v>26</v>
      </c>
      <c r="G27" t="s">
        <v>8</v>
      </c>
    </row>
    <row r="28" spans="1:30" x14ac:dyDescent="0.25">
      <c r="A28">
        <v>0</v>
      </c>
      <c r="B28" s="12">
        <f>D2*13</f>
        <v>715</v>
      </c>
      <c r="C28" s="12">
        <f>B28*11.15/100</f>
        <v>79.722499999999997</v>
      </c>
      <c r="D28" s="12">
        <f>B28-C28</f>
        <v>635.27750000000003</v>
      </c>
      <c r="E28">
        <f>E20</f>
        <v>24</v>
      </c>
      <c r="F28" s="12">
        <f>D28*E28/100</f>
        <v>152.4666</v>
      </c>
      <c r="G28" s="12">
        <f>D28-F28</f>
        <v>482.81090000000006</v>
      </c>
    </row>
    <row r="29" spans="1:30" x14ac:dyDescent="0.25">
      <c r="A29">
        <v>9</v>
      </c>
      <c r="B29" s="12">
        <f t="shared" ref="B29:B33" si="28">D3*13</f>
        <v>780</v>
      </c>
      <c r="C29" s="12">
        <f t="shared" ref="C29:C33" si="29">B29*11.15/100</f>
        <v>86.97</v>
      </c>
      <c r="D29" s="12">
        <f t="shared" ref="D29:D33" si="30">B29-C29</f>
        <v>693.03</v>
      </c>
      <c r="E29">
        <f t="shared" ref="E29:E33" si="31">E21</f>
        <v>24</v>
      </c>
      <c r="F29" s="12">
        <f t="shared" ref="F29:F33" si="32">D29*E29/100</f>
        <v>166.3272</v>
      </c>
      <c r="G29" s="12">
        <f t="shared" ref="G29:G33" si="33">D29-F29</f>
        <v>526.70280000000002</v>
      </c>
    </row>
    <row r="30" spans="1:30" x14ac:dyDescent="0.25">
      <c r="A30">
        <v>15</v>
      </c>
      <c r="B30" s="12">
        <f t="shared" si="28"/>
        <v>845</v>
      </c>
      <c r="C30" s="12">
        <f t="shared" si="29"/>
        <v>94.217500000000001</v>
      </c>
      <c r="D30" s="12">
        <f t="shared" si="30"/>
        <v>750.78250000000003</v>
      </c>
      <c r="E30">
        <f t="shared" si="31"/>
        <v>24</v>
      </c>
      <c r="F30" s="12">
        <f t="shared" si="32"/>
        <v>180.18779999999998</v>
      </c>
      <c r="G30" s="12">
        <f t="shared" si="33"/>
        <v>570.5947000000001</v>
      </c>
    </row>
    <row r="31" spans="1:30" x14ac:dyDescent="0.25">
      <c r="A31">
        <v>21</v>
      </c>
      <c r="B31" s="12">
        <f t="shared" si="28"/>
        <v>897</v>
      </c>
      <c r="C31" s="12">
        <f t="shared" si="29"/>
        <v>100.01550000000002</v>
      </c>
      <c r="D31" s="12">
        <f t="shared" si="30"/>
        <v>796.98450000000003</v>
      </c>
      <c r="E31">
        <f t="shared" si="31"/>
        <v>24</v>
      </c>
      <c r="F31" s="12">
        <f t="shared" si="32"/>
        <v>191.27628000000001</v>
      </c>
      <c r="G31" s="12">
        <f t="shared" si="33"/>
        <v>605.70821999999998</v>
      </c>
    </row>
    <row r="32" spans="1:30" x14ac:dyDescent="0.25">
      <c r="A32">
        <v>28</v>
      </c>
      <c r="B32" s="12">
        <f t="shared" si="28"/>
        <v>936</v>
      </c>
      <c r="C32" s="12">
        <f t="shared" si="29"/>
        <v>104.36399999999999</v>
      </c>
      <c r="D32" s="12">
        <f t="shared" si="30"/>
        <v>831.63599999999997</v>
      </c>
      <c r="E32">
        <f t="shared" si="31"/>
        <v>24</v>
      </c>
      <c r="F32" s="12">
        <f t="shared" si="32"/>
        <v>199.59263999999999</v>
      </c>
      <c r="G32" s="12">
        <f t="shared" si="33"/>
        <v>632.04336000000001</v>
      </c>
    </row>
    <row r="33" spans="1:7" x14ac:dyDescent="0.25">
      <c r="A33">
        <v>35</v>
      </c>
      <c r="B33" s="12">
        <f t="shared" si="28"/>
        <v>962</v>
      </c>
      <c r="C33" s="12">
        <f t="shared" si="29"/>
        <v>107.26300000000001</v>
      </c>
      <c r="D33" s="12">
        <f t="shared" si="30"/>
        <v>854.73699999999997</v>
      </c>
      <c r="E33">
        <f t="shared" si="31"/>
        <v>24</v>
      </c>
      <c r="F33" s="12">
        <f t="shared" si="32"/>
        <v>205.13687999999999</v>
      </c>
      <c r="G33" s="12">
        <f t="shared" si="33"/>
        <v>649.60011999999995</v>
      </c>
    </row>
    <row r="35" spans="1:7" x14ac:dyDescent="0.25">
      <c r="B35">
        <v>2021</v>
      </c>
      <c r="C35" t="s">
        <v>23</v>
      </c>
      <c r="D35" t="s">
        <v>24</v>
      </c>
      <c r="E35" t="s">
        <v>25</v>
      </c>
      <c r="F35" t="s">
        <v>26</v>
      </c>
      <c r="G35" t="s">
        <v>8</v>
      </c>
    </row>
    <row r="36" spans="1:7" x14ac:dyDescent="0.25">
      <c r="A36">
        <v>0</v>
      </c>
      <c r="B36" s="12">
        <f>B28</f>
        <v>715</v>
      </c>
      <c r="C36" s="12">
        <f>B36*11.15/100</f>
        <v>79.722499999999997</v>
      </c>
      <c r="D36" s="12">
        <f>B36-C36</f>
        <v>635.27750000000003</v>
      </c>
      <c r="E36">
        <v>25</v>
      </c>
      <c r="F36" s="12">
        <f>D36*E36/100</f>
        <v>158.81937500000001</v>
      </c>
      <c r="G36" s="12">
        <f>D36-F36+R2</f>
        <v>528.78772500000002</v>
      </c>
    </row>
    <row r="37" spans="1:7" x14ac:dyDescent="0.25">
      <c r="A37">
        <v>9</v>
      </c>
      <c r="B37" s="12">
        <f t="shared" ref="B37:B41" si="34">B29</f>
        <v>780</v>
      </c>
      <c r="C37" s="12">
        <f t="shared" ref="C37:C41" si="35">B37*11.15/100</f>
        <v>86.97</v>
      </c>
      <c r="D37" s="12">
        <f t="shared" ref="D37:D41" si="36">B37-C37</f>
        <v>693.03</v>
      </c>
      <c r="E37">
        <v>25</v>
      </c>
      <c r="F37" s="12">
        <f t="shared" ref="F37:F41" si="37">D37*E37/100</f>
        <v>173.25749999999999</v>
      </c>
      <c r="G37" s="12">
        <f t="shared" ref="G37:G41" si="38">D37-F37+R3</f>
        <v>572.10210000000006</v>
      </c>
    </row>
    <row r="38" spans="1:7" x14ac:dyDescent="0.25">
      <c r="A38">
        <v>15</v>
      </c>
      <c r="B38" s="12">
        <f t="shared" si="34"/>
        <v>845</v>
      </c>
      <c r="C38" s="12">
        <f t="shared" si="35"/>
        <v>94.217500000000001</v>
      </c>
      <c r="D38" s="12">
        <f t="shared" si="36"/>
        <v>750.78250000000003</v>
      </c>
      <c r="E38">
        <v>25</v>
      </c>
      <c r="F38" s="12">
        <f t="shared" si="37"/>
        <v>187.69562500000001</v>
      </c>
      <c r="G38" s="12">
        <f t="shared" si="38"/>
        <v>615.41647499999999</v>
      </c>
    </row>
    <row r="39" spans="1:7" x14ac:dyDescent="0.25">
      <c r="A39">
        <v>21</v>
      </c>
      <c r="B39" s="12">
        <f t="shared" si="34"/>
        <v>897</v>
      </c>
      <c r="C39" s="12">
        <f t="shared" si="35"/>
        <v>100.01550000000002</v>
      </c>
      <c r="D39" s="12">
        <f t="shared" si="36"/>
        <v>796.98450000000003</v>
      </c>
      <c r="E39">
        <v>25</v>
      </c>
      <c r="F39" s="12">
        <f t="shared" si="37"/>
        <v>199.24612500000001</v>
      </c>
      <c r="G39" s="12">
        <f t="shared" si="38"/>
        <v>650.06797500000005</v>
      </c>
    </row>
    <row r="40" spans="1:7" x14ac:dyDescent="0.25">
      <c r="A40">
        <v>28</v>
      </c>
      <c r="B40" s="12">
        <f t="shared" si="34"/>
        <v>936</v>
      </c>
      <c r="C40" s="12">
        <f t="shared" si="35"/>
        <v>104.36399999999999</v>
      </c>
      <c r="D40" s="12">
        <f t="shared" si="36"/>
        <v>831.63599999999997</v>
      </c>
      <c r="E40">
        <v>25</v>
      </c>
      <c r="F40" s="12">
        <f t="shared" si="37"/>
        <v>207.90899999999999</v>
      </c>
      <c r="G40" s="12">
        <f t="shared" si="38"/>
        <v>676.0566</v>
      </c>
    </row>
    <row r="41" spans="1:7" x14ac:dyDescent="0.25">
      <c r="A41">
        <v>35</v>
      </c>
      <c r="B41" s="12">
        <f t="shared" si="34"/>
        <v>962</v>
      </c>
      <c r="C41" s="12">
        <f t="shared" si="35"/>
        <v>107.26300000000001</v>
      </c>
      <c r="D41" s="12">
        <f t="shared" si="36"/>
        <v>854.73699999999997</v>
      </c>
      <c r="E41">
        <v>25</v>
      </c>
      <c r="F41" s="12">
        <f t="shared" si="37"/>
        <v>213.68424999999999</v>
      </c>
      <c r="G41" s="12">
        <f t="shared" si="38"/>
        <v>693.38234999999997</v>
      </c>
    </row>
  </sheetData>
  <mergeCells count="1">
    <mergeCell ref="I23:X24"/>
  </mergeCells>
  <dataValidations count="1">
    <dataValidation type="list" allowBlank="1" showInputMessage="1" showErrorMessage="1" sqref="I23:X24" xr:uid="{C02DA96A-9C09-40EA-8ACC-4092047B0112}">
      <formula1>$Z$2:$Z$6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6BC31-C11D-4E97-927D-BB43F0B250CE}">
  <dimension ref="A1:AD26"/>
  <sheetViews>
    <sheetView topLeftCell="C1" workbookViewId="0">
      <selection activeCell="AB26" sqref="AB26"/>
    </sheetView>
  </sheetViews>
  <sheetFormatPr defaultRowHeight="15" x14ac:dyDescent="0.25"/>
  <cols>
    <col min="6" max="7" width="11" bestFit="1" customWidth="1"/>
    <col min="10" max="11" width="11" bestFit="1" customWidth="1"/>
    <col min="14" max="14" width="11" bestFit="1" customWidth="1"/>
    <col min="19" max="19" width="11.7109375" bestFit="1" customWidth="1"/>
    <col min="20" max="20" width="11" bestFit="1" customWidth="1"/>
    <col min="21" max="25" width="9.42578125" bestFit="1" customWidth="1"/>
    <col min="27" max="27" width="11" bestFit="1" customWidth="1"/>
    <col min="28" max="28" width="11" customWidth="1"/>
    <col min="29" max="29" width="9.42578125" bestFit="1" customWidth="1"/>
  </cols>
  <sheetData>
    <row r="1" spans="1:30" x14ac:dyDescent="0.25">
      <c r="B1" s="1">
        <v>2019</v>
      </c>
      <c r="C1" s="1">
        <v>2020</v>
      </c>
      <c r="D1" s="1">
        <v>2021</v>
      </c>
      <c r="E1" s="3">
        <v>2022</v>
      </c>
      <c r="F1" s="1" t="s">
        <v>2</v>
      </c>
      <c r="G1" s="3" t="s">
        <v>1</v>
      </c>
      <c r="H1" s="1" t="s">
        <v>3</v>
      </c>
      <c r="I1" s="3" t="s">
        <v>3</v>
      </c>
      <c r="J1" s="1" t="s">
        <v>4</v>
      </c>
      <c r="K1" s="3" t="s">
        <v>4</v>
      </c>
      <c r="L1" s="1" t="s">
        <v>5</v>
      </c>
      <c r="M1" s="3" t="s">
        <v>6</v>
      </c>
      <c r="N1" s="1" t="s">
        <v>5</v>
      </c>
      <c r="O1" s="3" t="s">
        <v>6</v>
      </c>
      <c r="P1" s="3" t="s">
        <v>7</v>
      </c>
      <c r="Q1" s="3" t="s">
        <v>4</v>
      </c>
      <c r="R1" s="3" t="s">
        <v>8</v>
      </c>
      <c r="S1" s="9" t="s">
        <v>9</v>
      </c>
      <c r="T1" s="3" t="s">
        <v>27</v>
      </c>
      <c r="U1" s="3" t="s">
        <v>6</v>
      </c>
    </row>
    <row r="2" spans="1:30" x14ac:dyDescent="0.25">
      <c r="A2" t="s">
        <v>11</v>
      </c>
      <c r="B2" s="2">
        <v>15.4</v>
      </c>
      <c r="C2" s="2">
        <v>28.4</v>
      </c>
      <c r="D2" s="2">
        <v>63</v>
      </c>
      <c r="E2" s="4">
        <f>D2</f>
        <v>63</v>
      </c>
      <c r="F2" s="2">
        <f>(B2+C2+D2)*13-6.96*3-11.6*33</f>
        <v>984.7199999999998</v>
      </c>
      <c r="G2" s="4">
        <f>E2*13-11.6*13</f>
        <v>668.2</v>
      </c>
      <c r="H2" s="2">
        <f t="shared" ref="H2:I4" si="0">F2*11.15%</f>
        <v>109.79627999999998</v>
      </c>
      <c r="I2" s="5">
        <f t="shared" si="0"/>
        <v>74.504300000000001</v>
      </c>
      <c r="J2" s="6">
        <f t="shared" ref="J2:J4" si="1">F2-H2</f>
        <v>874.92371999999978</v>
      </c>
      <c r="K2" s="5">
        <f>G2-I2+Q2</f>
        <v>663.46849999999995</v>
      </c>
      <c r="L2" s="1">
        <v>24</v>
      </c>
      <c r="M2" s="3">
        <v>25</v>
      </c>
      <c r="N2" s="7">
        <f t="shared" ref="N2:O4" si="2">J2*(100-L2)/100</f>
        <v>664.94202719999987</v>
      </c>
      <c r="O2" s="8">
        <f t="shared" si="2"/>
        <v>497.60137499999996</v>
      </c>
      <c r="P2" s="4">
        <f>6.4*12</f>
        <v>76.800000000000011</v>
      </c>
      <c r="Q2" s="5">
        <f>P2*(100-9.15)/100</f>
        <v>69.772800000000004</v>
      </c>
      <c r="R2" s="5">
        <f>Q2*(100-M2)/100</f>
        <v>52.329599999999999</v>
      </c>
      <c r="S2" s="10">
        <f>N2+O2+R2</f>
        <v>1214.8730022</v>
      </c>
      <c r="T2" s="14">
        <f>IF(Foglio1!$G$7=0,'KA04'!J2,0)</f>
        <v>874.92371999999978</v>
      </c>
      <c r="U2" s="14">
        <f>IF(Foglio1!$G$7=0,'KA04'!K2,0)</f>
        <v>663.46849999999995</v>
      </c>
    </row>
    <row r="3" spans="1:30" x14ac:dyDescent="0.25">
      <c r="A3">
        <v>9</v>
      </c>
      <c r="B3" s="2">
        <v>17.100000000000001</v>
      </c>
      <c r="C3" s="2">
        <v>31.5</v>
      </c>
      <c r="D3" s="2">
        <v>70</v>
      </c>
      <c r="E3" s="4">
        <f>D3</f>
        <v>70</v>
      </c>
      <c r="F3" s="2">
        <f>(B3+C3+D3)*13-7.72*3-12.87*33</f>
        <v>1093.9299999999998</v>
      </c>
      <c r="G3" s="4">
        <f>E3*13-12.87*13</f>
        <v>742.69</v>
      </c>
      <c r="H3" s="2">
        <f t="shared" si="0"/>
        <v>121.97319499999999</v>
      </c>
      <c r="I3" s="5">
        <f t="shared" si="0"/>
        <v>82.80993500000001</v>
      </c>
      <c r="J3" s="6">
        <f t="shared" si="1"/>
        <v>971.9568049999998</v>
      </c>
      <c r="K3" s="5">
        <f t="shared" ref="K3:K7" si="3">G3-I3+Q3</f>
        <v>729.65286500000002</v>
      </c>
      <c r="L3" s="1">
        <v>24</v>
      </c>
      <c r="M3" s="3">
        <v>25</v>
      </c>
      <c r="N3" s="7">
        <f t="shared" si="2"/>
        <v>738.68717179999976</v>
      </c>
      <c r="O3" s="8">
        <f t="shared" si="2"/>
        <v>547.23964875000001</v>
      </c>
      <c r="P3" s="4">
        <f>6.4*12</f>
        <v>76.800000000000011</v>
      </c>
      <c r="Q3" s="5">
        <f>P3*(100-9.15)/100</f>
        <v>69.772800000000004</v>
      </c>
      <c r="R3" s="5">
        <f>Q3*(100-M3)/100</f>
        <v>52.329599999999999</v>
      </c>
      <c r="S3" s="10">
        <f>N3+O3+R3</f>
        <v>1338.2564205499998</v>
      </c>
      <c r="T3" s="14">
        <f>IF(Foglio1!$G$7=9,'KA04'!J3,0)</f>
        <v>0</v>
      </c>
      <c r="U3" s="14">
        <f>IF(Foglio1!$G$7=9,'KA04'!K3,0)</f>
        <v>0</v>
      </c>
    </row>
    <row r="4" spans="1:30" x14ac:dyDescent="0.25">
      <c r="A4">
        <v>15</v>
      </c>
      <c r="B4" s="2">
        <v>18.600000000000001</v>
      </c>
      <c r="C4" s="2">
        <v>34.200000000000003</v>
      </c>
      <c r="D4" s="2">
        <v>76</v>
      </c>
      <c r="E4" s="4">
        <f>D4</f>
        <v>76</v>
      </c>
      <c r="F4" s="2">
        <f>(B4+C4+D4)*13-8.4*3-14*33</f>
        <v>1187.2</v>
      </c>
      <c r="G4" s="4">
        <f>E4*13-14*13</f>
        <v>806</v>
      </c>
      <c r="H4" s="2">
        <f t="shared" si="0"/>
        <v>132.37280000000001</v>
      </c>
      <c r="I4" s="5">
        <f t="shared" si="0"/>
        <v>89.869</v>
      </c>
      <c r="J4" s="6">
        <f t="shared" si="1"/>
        <v>1054.8271999999999</v>
      </c>
      <c r="K4" s="5">
        <f t="shared" si="3"/>
        <v>785.90379999999993</v>
      </c>
      <c r="L4" s="1">
        <v>24</v>
      </c>
      <c r="M4" s="3">
        <v>25</v>
      </c>
      <c r="N4" s="7">
        <f t="shared" si="2"/>
        <v>801.6686719999999</v>
      </c>
      <c r="O4" s="8">
        <f t="shared" si="2"/>
        <v>589.42784999999992</v>
      </c>
      <c r="P4" s="4">
        <f>6.4*12</f>
        <v>76.800000000000011</v>
      </c>
      <c r="Q4" s="5">
        <f>P4*(100-9.15)/100</f>
        <v>69.772800000000004</v>
      </c>
      <c r="R4" s="5">
        <f>Q4*(100-M4)/100</f>
        <v>52.329599999999999</v>
      </c>
      <c r="S4" s="10">
        <f>N4+O4+R4</f>
        <v>1443.4261219999999</v>
      </c>
      <c r="T4" s="14">
        <f>IF(Foglio1!$G$7=15,'KA04'!J4,0)</f>
        <v>0</v>
      </c>
      <c r="U4" s="14">
        <f>IF(Foglio1!$G$7=15,'KA04'!K4,0)</f>
        <v>0</v>
      </c>
    </row>
    <row r="5" spans="1:30" x14ac:dyDescent="0.25">
      <c r="A5">
        <v>21</v>
      </c>
      <c r="B5" s="2">
        <v>20</v>
      </c>
      <c r="C5" s="2">
        <v>36.9</v>
      </c>
      <c r="D5" s="2">
        <v>76</v>
      </c>
      <c r="E5" s="4">
        <v>82</v>
      </c>
      <c r="F5" s="2">
        <f>(B5+C5+D5)*13-9.05*3-15.09*33</f>
        <v>1202.58</v>
      </c>
      <c r="G5" s="4">
        <f>E5*13-15.09*13</f>
        <v>869.83</v>
      </c>
      <c r="H5" s="2">
        <f t="shared" ref="H5:H7" si="4">F5*11.15%</f>
        <v>134.08767</v>
      </c>
      <c r="I5" s="5">
        <f t="shared" ref="I5:I7" si="5">G5*11.15%</f>
        <v>96.986045000000004</v>
      </c>
      <c r="J5" s="6">
        <f t="shared" ref="J5:J7" si="6">F5-H5</f>
        <v>1068.49233</v>
      </c>
      <c r="K5" s="5">
        <f t="shared" si="3"/>
        <v>842.61675500000001</v>
      </c>
      <c r="L5" s="1">
        <v>24</v>
      </c>
      <c r="M5" s="3">
        <v>25</v>
      </c>
      <c r="N5" s="7">
        <f t="shared" ref="N5:N7" si="7">J5*(100-L5)/100</f>
        <v>812.05417079999995</v>
      </c>
      <c r="O5" s="8">
        <f t="shared" ref="O5:O7" si="8">K5*(100-M5)/100</f>
        <v>631.96256625000001</v>
      </c>
      <c r="P5" s="4">
        <f t="shared" ref="P5:P7" si="9">6.4*12</f>
        <v>76.800000000000011</v>
      </c>
      <c r="Q5" s="5">
        <f t="shared" ref="Q5:Q7" si="10">P5*(100-9.15)/100</f>
        <v>69.772800000000004</v>
      </c>
      <c r="R5" s="5">
        <f t="shared" ref="R5:R7" si="11">Q5*(100-M5)/100</f>
        <v>52.329599999999999</v>
      </c>
      <c r="S5" s="10">
        <f t="shared" ref="S5:S7" si="12">N5+O5+R5</f>
        <v>1496.3463370499999</v>
      </c>
      <c r="T5" s="14">
        <f>IF(Foglio1!$G$7=21,'KA04'!J5,0)</f>
        <v>0</v>
      </c>
      <c r="U5" s="14">
        <f>IF(Foglio1!$G$7=21,'KA03'!K5,0)</f>
        <v>0</v>
      </c>
    </row>
    <row r="6" spans="1:30" x14ac:dyDescent="0.25">
      <c r="A6">
        <v>28</v>
      </c>
      <c r="B6" s="2">
        <v>21.4</v>
      </c>
      <c r="C6" s="2">
        <v>39.5</v>
      </c>
      <c r="D6" s="2">
        <v>76</v>
      </c>
      <c r="E6" s="4">
        <v>87</v>
      </c>
      <c r="F6" s="2">
        <f>(B6+C6+D6)*13-9.69*3-16.16*33</f>
        <v>1217.3500000000001</v>
      </c>
      <c r="G6" s="4">
        <f>E6*13-16.16*13</f>
        <v>920.92</v>
      </c>
      <c r="H6" s="2">
        <f t="shared" si="4"/>
        <v>135.73452500000002</v>
      </c>
      <c r="I6" s="5">
        <f t="shared" si="5"/>
        <v>102.68258</v>
      </c>
      <c r="J6" s="6">
        <f t="shared" si="6"/>
        <v>1081.6154750000001</v>
      </c>
      <c r="K6" s="5">
        <f t="shared" si="3"/>
        <v>888.01021999999989</v>
      </c>
      <c r="L6" s="1">
        <v>24</v>
      </c>
      <c r="M6" s="3">
        <v>25</v>
      </c>
      <c r="N6" s="7">
        <f t="shared" si="7"/>
        <v>822.02776100000005</v>
      </c>
      <c r="O6" s="8">
        <f t="shared" si="8"/>
        <v>666.00766499999997</v>
      </c>
      <c r="P6" s="4">
        <f t="shared" si="9"/>
        <v>76.800000000000011</v>
      </c>
      <c r="Q6" s="5">
        <f t="shared" si="10"/>
        <v>69.772800000000004</v>
      </c>
      <c r="R6" s="5">
        <f t="shared" si="11"/>
        <v>52.329599999999999</v>
      </c>
      <c r="S6" s="10">
        <f t="shared" si="12"/>
        <v>1540.3650259999999</v>
      </c>
      <c r="T6" s="14">
        <f>IF(Foglio1!$G$7=28,'KA04'!J6,0)</f>
        <v>0</v>
      </c>
      <c r="U6" s="14">
        <f>IF(Foglio1!$G$7=28,'KA03'!K6,0)</f>
        <v>0</v>
      </c>
    </row>
    <row r="7" spans="1:30" x14ac:dyDescent="0.25">
      <c r="A7">
        <v>35</v>
      </c>
      <c r="B7" s="2">
        <v>22.5</v>
      </c>
      <c r="C7" s="2">
        <v>41.4</v>
      </c>
      <c r="D7" s="2">
        <v>76</v>
      </c>
      <c r="E7" s="4">
        <v>92</v>
      </c>
      <c r="F7" s="2">
        <f>(B7+C7+D7)*13-10.17*3-16.96*33</f>
        <v>1228.51</v>
      </c>
      <c r="G7" s="4">
        <f>E7*13-16.96*13</f>
        <v>975.52</v>
      </c>
      <c r="H7" s="2">
        <f t="shared" si="4"/>
        <v>136.97886500000001</v>
      </c>
      <c r="I7" s="5">
        <f t="shared" si="5"/>
        <v>108.77048000000001</v>
      </c>
      <c r="J7" s="6">
        <f t="shared" si="6"/>
        <v>1091.5311349999999</v>
      </c>
      <c r="K7" s="5">
        <f t="shared" si="3"/>
        <v>936.52231999999992</v>
      </c>
      <c r="L7" s="1">
        <v>24</v>
      </c>
      <c r="M7" s="3">
        <v>25</v>
      </c>
      <c r="N7" s="7">
        <f t="shared" si="7"/>
        <v>829.56366259999993</v>
      </c>
      <c r="O7" s="8">
        <f t="shared" si="8"/>
        <v>702.39174000000003</v>
      </c>
      <c r="P7" s="4">
        <f t="shared" si="9"/>
        <v>76.800000000000011</v>
      </c>
      <c r="Q7" s="5">
        <f t="shared" si="10"/>
        <v>69.772800000000004</v>
      </c>
      <c r="R7" s="5">
        <f t="shared" si="11"/>
        <v>52.329599999999999</v>
      </c>
      <c r="S7" s="10">
        <f t="shared" si="12"/>
        <v>1584.2850026000001</v>
      </c>
      <c r="T7" s="14">
        <f>IF(Foglio1!$G$7=35,'KA04'!J7,0)</f>
        <v>0</v>
      </c>
      <c r="U7" s="14">
        <f>IF(Foglio1!$G$7=35,'KA04'!K7,0)</f>
        <v>0</v>
      </c>
    </row>
    <row r="8" spans="1:30" x14ac:dyDescent="0.25">
      <c r="T8" s="12">
        <f>SUM(T2:T7)</f>
        <v>874.92371999999978</v>
      </c>
      <c r="U8" s="12">
        <f>SUM(U2:U7)</f>
        <v>663.46849999999995</v>
      </c>
    </row>
    <row r="13" spans="1:30" x14ac:dyDescent="0.25">
      <c r="U13" s="1">
        <v>2013</v>
      </c>
      <c r="V13" s="3" t="s">
        <v>27</v>
      </c>
      <c r="W13" s="1">
        <v>2020</v>
      </c>
      <c r="X13" s="3" t="s">
        <v>27</v>
      </c>
      <c r="Y13" s="1">
        <v>2021</v>
      </c>
      <c r="Z13" s="3" t="s">
        <v>27</v>
      </c>
      <c r="AA13" s="3">
        <v>2022</v>
      </c>
      <c r="AB13" s="3" t="s">
        <v>27</v>
      </c>
      <c r="AC13" t="s">
        <v>53</v>
      </c>
      <c r="AD13" s="3" t="s">
        <v>27</v>
      </c>
    </row>
    <row r="14" spans="1:30" x14ac:dyDescent="0.25">
      <c r="U14" s="2">
        <f>(B2)*13-6.96*3-11.6*7</f>
        <v>98.120000000000019</v>
      </c>
      <c r="V14" s="14">
        <f>IF(Foglio1!$G$7=0,'KA04'!U14,0)</f>
        <v>98.120000000000019</v>
      </c>
      <c r="W14" s="2">
        <f>(C2)*13-11.6*7</f>
        <v>288</v>
      </c>
      <c r="X14" s="14">
        <f>IF(Foglio1!$G$7=0,'KA04'!W14,0)</f>
        <v>288</v>
      </c>
      <c r="Y14" s="2">
        <f>(D2)*13-11.6*13</f>
        <v>668.2</v>
      </c>
      <c r="Z14" s="14">
        <f>IF(Foglio1!$G$7=0,'KA04'!Y14,0)</f>
        <v>668.2</v>
      </c>
      <c r="AA14" s="4">
        <f>G2+P2</f>
        <v>745</v>
      </c>
      <c r="AB14" s="14">
        <f>IF(Foglio1!$G$7=0,'KA04'!AA14,0)</f>
        <v>745</v>
      </c>
      <c r="AC14" s="12">
        <f>K2</f>
        <v>663.46849999999995</v>
      </c>
      <c r="AD14" s="14">
        <f>IF(Foglio1!$G$7=0,'KA04'!AC14,0)</f>
        <v>663.46849999999995</v>
      </c>
    </row>
    <row r="15" spans="1:30" x14ac:dyDescent="0.25">
      <c r="U15" s="2">
        <f>(B3)*13-7.72*3-12.87*7</f>
        <v>109.05000000000003</v>
      </c>
      <c r="V15" s="14">
        <f>IF(Foglio1!$G$7=9,'KA04'!U15,0)</f>
        <v>0</v>
      </c>
      <c r="W15" s="2">
        <f>(C3)*13-12.87*13</f>
        <v>242.19</v>
      </c>
      <c r="X15" s="14">
        <f>IF(Foglio1!$G$7=9,'KA04'!W15,0)</f>
        <v>0</v>
      </c>
      <c r="Y15" s="2">
        <f>(D3)*13-12.87*13</f>
        <v>742.69</v>
      </c>
      <c r="Z15" s="14">
        <f>IF(Foglio1!$G$7=9,'KA04'!Y15,0)</f>
        <v>0</v>
      </c>
      <c r="AA15" s="4">
        <f t="shared" ref="AA15:AA19" si="13">G3+P3</f>
        <v>819.49</v>
      </c>
      <c r="AB15" s="14">
        <f>IF(Foglio1!$G$7=9,'KA04'!AA15,0)</f>
        <v>0</v>
      </c>
      <c r="AC15" s="12">
        <f t="shared" ref="AC15:AC19" si="14">K3</f>
        <v>729.65286500000002</v>
      </c>
      <c r="AD15" s="14">
        <f>IF(Foglio1!$G$7=9,'KA04'!AC15,0)</f>
        <v>0</v>
      </c>
    </row>
    <row r="16" spans="1:30" x14ac:dyDescent="0.25">
      <c r="U16" s="2">
        <f>(B4)*13-8.4*3-14*7</f>
        <v>118.60000000000002</v>
      </c>
      <c r="V16" s="14">
        <f>IF(Foglio1!$G$7=15,'KA04'!U16,0)</f>
        <v>0</v>
      </c>
      <c r="W16" s="2">
        <f>(C4)*13-14*13</f>
        <v>262.60000000000002</v>
      </c>
      <c r="X16" s="14">
        <f>IF(Foglio1!$G$7=15,'KA04'!W16,0)</f>
        <v>0</v>
      </c>
      <c r="Y16" s="2">
        <f>D4*13-14*13</f>
        <v>806</v>
      </c>
      <c r="Z16" s="14">
        <f>IF(Foglio1!$G$7=15,'KA04'!Y16,0)</f>
        <v>0</v>
      </c>
      <c r="AA16" s="4">
        <f t="shared" si="13"/>
        <v>882.8</v>
      </c>
      <c r="AB16" s="14">
        <f>IF(Foglio1!$G$7=15,'KA04'!AA16,0)</f>
        <v>0</v>
      </c>
      <c r="AC16" s="12">
        <f t="shared" si="14"/>
        <v>785.90379999999993</v>
      </c>
      <c r="AD16" s="14">
        <f>IF(Foglio1!$G$7=15,'KA04'!AC16,0)</f>
        <v>0</v>
      </c>
    </row>
    <row r="17" spans="9:30" x14ac:dyDescent="0.25">
      <c r="U17" s="2">
        <f>(B5)*13-9.05*3-15.09*7</f>
        <v>127.22</v>
      </c>
      <c r="V17" s="14">
        <f>IF(Foglio1!$G$7=21,'KA04'!U17,0)</f>
        <v>0</v>
      </c>
      <c r="W17" s="2">
        <f>(C5)*13-15.09*13</f>
        <v>283.52999999999997</v>
      </c>
      <c r="X17" s="14">
        <f>IF(Foglio1!$G$7=21,'KA04'!W17,0)</f>
        <v>0</v>
      </c>
      <c r="Y17" s="2">
        <f>D5*13-15.09*13</f>
        <v>791.83</v>
      </c>
      <c r="Z17" s="14">
        <f>IF(Foglio1!$G$7=21,'KA04'!Y17,0)</f>
        <v>0</v>
      </c>
      <c r="AA17" s="4">
        <f t="shared" si="13"/>
        <v>946.63000000000011</v>
      </c>
      <c r="AB17" s="14">
        <f>IF(Foglio1!$G$7=21,'KA04'!AA17,0)</f>
        <v>0</v>
      </c>
      <c r="AC17" s="12">
        <f t="shared" si="14"/>
        <v>842.61675500000001</v>
      </c>
      <c r="AD17" s="14">
        <f>IF(Foglio1!$G$7=21,'KA04'!AC17,0)</f>
        <v>0</v>
      </c>
    </row>
    <row r="18" spans="9:30" x14ac:dyDescent="0.25">
      <c r="U18" s="2">
        <f>(B6)*13-9.69*3-16.16*7</f>
        <v>136.01</v>
      </c>
      <c r="V18" s="14">
        <f>IF(Foglio1!$G$7=28,'KA04'!U18,0)</f>
        <v>0</v>
      </c>
      <c r="W18" s="2">
        <f>(C6)*13-16.16*13</f>
        <v>303.41999999999996</v>
      </c>
      <c r="X18" s="14">
        <f>IF(Foglio1!$G$7=28,'KA04'!W18,0)</f>
        <v>0</v>
      </c>
      <c r="Y18" s="2">
        <f>D6*13-16.16*13</f>
        <v>777.92</v>
      </c>
      <c r="Z18" s="14">
        <f>IF(Foglio1!$G$7=28,'KA04'!Y18,0)</f>
        <v>0</v>
      </c>
      <c r="AA18" s="4">
        <f t="shared" si="13"/>
        <v>997.72</v>
      </c>
      <c r="AB18" s="14">
        <f>IF(Foglio1!$G$7=28,'KA04'!AA18,0)</f>
        <v>0</v>
      </c>
      <c r="AC18" s="12">
        <f t="shared" si="14"/>
        <v>888.01021999999989</v>
      </c>
      <c r="AD18" s="14">
        <f>IF(Foglio1!$G$7=28,'KA04'!AC18,0)</f>
        <v>0</v>
      </c>
    </row>
    <row r="19" spans="9:30" x14ac:dyDescent="0.25">
      <c r="U19" s="2">
        <f>(B7)*13-10.17*3-16.96*7</f>
        <v>143.27000000000001</v>
      </c>
      <c r="V19" s="14">
        <f>IF(Foglio1!$G$7=35,'KA04'!U19,0)</f>
        <v>0</v>
      </c>
      <c r="W19" s="2">
        <f>(C7)*13-16.96*13</f>
        <v>317.71999999999991</v>
      </c>
      <c r="X19" s="14">
        <f>IF(Foglio1!$G$7=35,'KA04'!W19,0)</f>
        <v>0</v>
      </c>
      <c r="Y19" s="2">
        <f>D7*13-16.96*13</f>
        <v>767.52</v>
      </c>
      <c r="Z19" s="14">
        <f>IF(Foglio1!$G$7=35,'KA04'!Y19,0)</f>
        <v>0</v>
      </c>
      <c r="AA19" s="4">
        <f t="shared" si="13"/>
        <v>1052.32</v>
      </c>
      <c r="AB19" s="14">
        <f>IF(Foglio1!$G$7=35,'KA04'!AA19,0)</f>
        <v>0</v>
      </c>
      <c r="AC19" s="12">
        <f t="shared" si="14"/>
        <v>936.52231999999992</v>
      </c>
      <c r="AD19" s="14">
        <f>IF(Foglio1!$G$7=35,'KA04'!AC19,0)</f>
        <v>0</v>
      </c>
    </row>
    <row r="20" spans="9:30" x14ac:dyDescent="0.25">
      <c r="V20" s="12">
        <f>SUM(V14:V19)</f>
        <v>98.120000000000019</v>
      </c>
      <c r="X20" s="12">
        <f>SUM(X14:X19)</f>
        <v>288</v>
      </c>
      <c r="Z20" s="12">
        <f>SUM(Z14:Z19)</f>
        <v>668.2</v>
      </c>
      <c r="AB20" s="12">
        <f>SUM(AB14:AB19)</f>
        <v>745</v>
      </c>
      <c r="AD20" s="12">
        <f>SUM(AD14:AD19)</f>
        <v>663.46849999999995</v>
      </c>
    </row>
    <row r="23" spans="9:30" ht="15" customHeight="1" x14ac:dyDescent="0.25">
      <c r="I23" s="50" t="s">
        <v>46</v>
      </c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</row>
    <row r="24" spans="9:30" ht="15" customHeight="1" x14ac:dyDescent="0.25"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5" spans="9:30" ht="15" customHeight="1" x14ac:dyDescent="0.25"/>
    <row r="26" spans="9:30" x14ac:dyDescent="0.25">
      <c r="I26">
        <f>IF(Foglio1!A5='KA04'!I23,1,0)</f>
        <v>0</v>
      </c>
      <c r="J26" s="12">
        <f>T8*I26</f>
        <v>0</v>
      </c>
      <c r="K26" s="12">
        <f>U8*I26</f>
        <v>0</v>
      </c>
      <c r="V26" s="12">
        <f>V20*I26</f>
        <v>0</v>
      </c>
      <c r="X26" s="12">
        <f>I26*X20</f>
        <v>0</v>
      </c>
      <c r="Z26" s="12">
        <f>I26*Z20</f>
        <v>0</v>
      </c>
      <c r="AB26" s="12">
        <f>I26*AB20</f>
        <v>0</v>
      </c>
      <c r="AD26" s="12">
        <f>I26*AD20</f>
        <v>0</v>
      </c>
    </row>
  </sheetData>
  <mergeCells count="1">
    <mergeCell ref="I23:X24"/>
  </mergeCells>
  <dataValidations count="1">
    <dataValidation type="list" allowBlank="1" showInputMessage="1" showErrorMessage="1" sqref="I23:X24" xr:uid="{013A6F07-9A15-4408-9F4A-2ECD674C4C57}">
      <formula1>$Z$2:$Z$8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4709D-B7A4-4820-94BC-7327B995FD14}">
  <dimension ref="A1:AD26"/>
  <sheetViews>
    <sheetView topLeftCell="F1" workbookViewId="0">
      <selection activeCell="G2" sqref="G2"/>
    </sheetView>
  </sheetViews>
  <sheetFormatPr defaultRowHeight="15" x14ac:dyDescent="0.25"/>
  <cols>
    <col min="2" max="2" width="9.42578125" bestFit="1" customWidth="1"/>
    <col min="4" max="4" width="9.42578125" bestFit="1" customWidth="1"/>
    <col min="6" max="7" width="11" bestFit="1" customWidth="1"/>
    <col min="10" max="11" width="11" bestFit="1" customWidth="1"/>
    <col min="14" max="14" width="11" bestFit="1" customWidth="1"/>
    <col min="16" max="16" width="9.42578125" bestFit="1" customWidth="1"/>
    <col min="19" max="19" width="11.7109375" bestFit="1" customWidth="1"/>
    <col min="20" max="21" width="11" bestFit="1" customWidth="1"/>
    <col min="22" max="23" width="9.42578125" bestFit="1" customWidth="1"/>
    <col min="25" max="25" width="9.42578125" bestFit="1" customWidth="1"/>
    <col min="26" max="26" width="13.140625" bestFit="1" customWidth="1"/>
    <col min="27" max="27" width="11" bestFit="1" customWidth="1"/>
    <col min="28" max="28" width="9.42578125" bestFit="1" customWidth="1"/>
    <col min="29" max="29" width="11" bestFit="1" customWidth="1"/>
    <col min="30" max="30" width="9.42578125" bestFit="1" customWidth="1"/>
  </cols>
  <sheetData>
    <row r="1" spans="1:30" x14ac:dyDescent="0.25">
      <c r="B1" s="1">
        <v>2019</v>
      </c>
      <c r="C1" s="1">
        <v>2020</v>
      </c>
      <c r="D1" s="1">
        <v>2021</v>
      </c>
      <c r="E1" s="3">
        <v>2022</v>
      </c>
      <c r="F1" s="1" t="s">
        <v>2</v>
      </c>
      <c r="G1" s="3" t="s">
        <v>1</v>
      </c>
      <c r="H1" s="1" t="s">
        <v>3</v>
      </c>
      <c r="I1" s="3" t="s">
        <v>3</v>
      </c>
      <c r="J1" s="1" t="s">
        <v>4</v>
      </c>
      <c r="K1" s="3" t="s">
        <v>4</v>
      </c>
      <c r="L1" s="1" t="s">
        <v>5</v>
      </c>
      <c r="M1" s="3" t="s">
        <v>6</v>
      </c>
      <c r="N1" s="1" t="s">
        <v>5</v>
      </c>
      <c r="O1" s="3" t="s">
        <v>6</v>
      </c>
      <c r="P1" s="3" t="s">
        <v>7</v>
      </c>
      <c r="Q1" s="3" t="s">
        <v>4</v>
      </c>
      <c r="R1" s="3" t="s">
        <v>8</v>
      </c>
      <c r="S1" s="9" t="s">
        <v>9</v>
      </c>
      <c r="T1" s="3" t="s">
        <v>27</v>
      </c>
      <c r="U1" s="3" t="s">
        <v>6</v>
      </c>
    </row>
    <row r="2" spans="1:30" x14ac:dyDescent="0.25">
      <c r="A2" t="s">
        <v>20</v>
      </c>
      <c r="B2" s="2">
        <v>17.8</v>
      </c>
      <c r="C2" s="2">
        <v>32.799999999999997</v>
      </c>
      <c r="D2" s="2">
        <v>72</v>
      </c>
      <c r="E2" s="4">
        <f>D2</f>
        <v>72</v>
      </c>
      <c r="F2" s="2">
        <f>(B2+C2+D2)*13-8.05*3-13.41*33</f>
        <v>1127.1199999999999</v>
      </c>
      <c r="G2" s="4">
        <f>E2*13-13.41*13</f>
        <v>761.67</v>
      </c>
      <c r="H2" s="2">
        <f t="shared" ref="H2:I4" si="0">F2*11.15%</f>
        <v>125.67388</v>
      </c>
      <c r="I2" s="5">
        <f t="shared" si="0"/>
        <v>84.926204999999996</v>
      </c>
      <c r="J2" s="6">
        <f t="shared" ref="J2:J4" si="1">F2-H2</f>
        <v>1001.4461199999998</v>
      </c>
      <c r="K2" s="5">
        <f>G2-I2+Q2</f>
        <v>818.46979499999998</v>
      </c>
      <c r="L2" s="1">
        <v>24</v>
      </c>
      <c r="M2" s="3">
        <v>25</v>
      </c>
      <c r="N2" s="7">
        <f t="shared" ref="N2:O4" si="2">J2*(100-L2)/100</f>
        <v>761.09905119999985</v>
      </c>
      <c r="O2" s="8">
        <f t="shared" si="2"/>
        <v>613.85234624999998</v>
      </c>
      <c r="P2" s="4">
        <v>156</v>
      </c>
      <c r="Q2" s="5">
        <f>P2*(100-9.15)/100</f>
        <v>141.726</v>
      </c>
      <c r="R2" s="5">
        <f>Q2*(100-M2)/100</f>
        <v>106.29450000000001</v>
      </c>
      <c r="S2" s="10">
        <f>N2+O2+R2</f>
        <v>1481.2458974499998</v>
      </c>
      <c r="T2" s="14">
        <f>IF(Foglio1!$G$7=0,'ka09'!J2,0)</f>
        <v>1001.4461199999998</v>
      </c>
      <c r="U2" s="14">
        <f>IF(Foglio1!$G$7=0,'ka09'!K2,0)</f>
        <v>818.46979499999998</v>
      </c>
    </row>
    <row r="3" spans="1:30" x14ac:dyDescent="0.25">
      <c r="A3">
        <v>9</v>
      </c>
      <c r="B3" s="2">
        <v>19.899999999999999</v>
      </c>
      <c r="C3" s="2">
        <v>36.700000000000003</v>
      </c>
      <c r="D3" s="2">
        <v>80</v>
      </c>
      <c r="E3" s="4">
        <f>D3</f>
        <v>80</v>
      </c>
      <c r="F3" s="2">
        <f>(B3+C3+D3)*13-9*3-15*33</f>
        <v>1253.8</v>
      </c>
      <c r="G3" s="4">
        <f>E3*13-15*13</f>
        <v>845</v>
      </c>
      <c r="H3" s="2">
        <f t="shared" si="0"/>
        <v>139.7987</v>
      </c>
      <c r="I3" s="5">
        <f t="shared" si="0"/>
        <v>94.217500000000001</v>
      </c>
      <c r="J3" s="6">
        <f t="shared" si="1"/>
        <v>1114.0012999999999</v>
      </c>
      <c r="K3" s="5">
        <f t="shared" ref="K3:K7" si="3">G3-I3+Q3</f>
        <v>892.50850000000003</v>
      </c>
      <c r="L3" s="1">
        <v>24</v>
      </c>
      <c r="M3" s="3">
        <v>25</v>
      </c>
      <c r="N3" s="7">
        <f t="shared" si="2"/>
        <v>846.64098799999988</v>
      </c>
      <c r="O3" s="8">
        <f t="shared" si="2"/>
        <v>669.38137499999993</v>
      </c>
      <c r="P3" s="4">
        <v>156</v>
      </c>
      <c r="Q3" s="5">
        <f>P3*(100-9.15)/100</f>
        <v>141.726</v>
      </c>
      <c r="R3" s="5">
        <f>Q3*(100-M3)/100</f>
        <v>106.29450000000001</v>
      </c>
      <c r="S3" s="10">
        <f>N3+O3+R3</f>
        <v>1622.3168629999998</v>
      </c>
      <c r="T3" s="14">
        <f>IF(Foglio1!$G$7=9,'ka09'!J3,0)</f>
        <v>0</v>
      </c>
      <c r="U3" s="14">
        <f>IF(Foglio1!$G$7=9,'ka09'!K3,0)</f>
        <v>0</v>
      </c>
    </row>
    <row r="4" spans="1:30" x14ac:dyDescent="0.25">
      <c r="A4">
        <v>15</v>
      </c>
      <c r="B4" s="2">
        <v>21.8</v>
      </c>
      <c r="C4" s="2">
        <v>40.1</v>
      </c>
      <c r="D4" s="2">
        <v>88</v>
      </c>
      <c r="E4" s="4">
        <f>D4</f>
        <v>88</v>
      </c>
      <c r="F4" s="2">
        <f>(B4+C4+D4)*13-9.84*3-16.4*33</f>
        <v>1377.98</v>
      </c>
      <c r="G4" s="4">
        <f>E4*13-16.5*13</f>
        <v>929.5</v>
      </c>
      <c r="H4" s="2">
        <f t="shared" si="0"/>
        <v>153.64476999999999</v>
      </c>
      <c r="I4" s="5">
        <f t="shared" si="0"/>
        <v>103.63925</v>
      </c>
      <c r="J4" s="6">
        <f t="shared" si="1"/>
        <v>1224.3352300000001</v>
      </c>
      <c r="K4" s="5">
        <f t="shared" si="3"/>
        <v>967.58675000000005</v>
      </c>
      <c r="L4" s="1">
        <v>24</v>
      </c>
      <c r="M4" s="3">
        <v>25</v>
      </c>
      <c r="N4" s="7">
        <f t="shared" si="2"/>
        <v>930.49477480000019</v>
      </c>
      <c r="O4" s="8">
        <f t="shared" si="2"/>
        <v>725.69006250000007</v>
      </c>
      <c r="P4" s="4">
        <v>156</v>
      </c>
      <c r="Q4" s="5">
        <f>P4*(100-9.15)/100</f>
        <v>141.726</v>
      </c>
      <c r="R4" s="5">
        <f>Q4*(100-M4)/100</f>
        <v>106.29450000000001</v>
      </c>
      <c r="S4" s="10">
        <f>N4+O4+R4</f>
        <v>1762.4793373000002</v>
      </c>
      <c r="T4" s="14">
        <f>IF(Foglio1!$G$7=15,'ka09'!J4,0)</f>
        <v>0</v>
      </c>
      <c r="U4" s="14">
        <f>IF(Foglio1!$G$7=15,'ka09'!K4,0)</f>
        <v>0</v>
      </c>
    </row>
    <row r="5" spans="1:30" x14ac:dyDescent="0.25">
      <c r="A5">
        <v>21</v>
      </c>
      <c r="B5" s="2">
        <v>23.8</v>
      </c>
      <c r="C5" s="2">
        <v>43.8</v>
      </c>
      <c r="D5" s="2">
        <v>96</v>
      </c>
      <c r="E5" s="4">
        <f t="shared" ref="E5:E7" si="4">D5</f>
        <v>96</v>
      </c>
      <c r="F5" s="2">
        <f>(B5+C5+D5)*13-10.74*3-17.9*33</f>
        <v>1503.88</v>
      </c>
      <c r="G5" s="4">
        <f>E5*13-17.9*13</f>
        <v>1015.3</v>
      </c>
      <c r="H5" s="2">
        <f t="shared" ref="H5:H7" si="5">F5*11.15%</f>
        <v>167.68262000000001</v>
      </c>
      <c r="I5" s="5">
        <f t="shared" ref="I5:I7" si="6">G5*11.15%</f>
        <v>113.20595</v>
      </c>
      <c r="J5" s="6">
        <f t="shared" ref="J5:J7" si="7">F5-H5</f>
        <v>1336.1973800000001</v>
      </c>
      <c r="K5" s="5">
        <f t="shared" si="3"/>
        <v>1043.8200499999998</v>
      </c>
      <c r="L5" s="1">
        <v>25</v>
      </c>
      <c r="M5" s="3">
        <v>35</v>
      </c>
      <c r="N5" s="7">
        <f t="shared" ref="N5:N7" si="8">J5*(100-L5)/100</f>
        <v>1002.148035</v>
      </c>
      <c r="O5" s="8">
        <f t="shared" ref="O5:O7" si="9">K5*(100-M5)/100</f>
        <v>678.48303249999981</v>
      </c>
      <c r="P5" s="4">
        <v>156</v>
      </c>
      <c r="Q5" s="5">
        <f t="shared" ref="Q5:Q7" si="10">P5*(100-9.15)/100</f>
        <v>141.726</v>
      </c>
      <c r="R5" s="5">
        <f t="shared" ref="R5:R7" si="11">Q5*(100-M5)/100</f>
        <v>92.121900000000011</v>
      </c>
      <c r="S5" s="10">
        <f t="shared" ref="S5:S7" si="12">N5+O5+R5</f>
        <v>1772.7529675000001</v>
      </c>
      <c r="T5" s="14">
        <f>IF(Foglio1!$G$7=21,'ka09'!J5,0)</f>
        <v>0</v>
      </c>
      <c r="U5" s="14">
        <f>IF(Foglio1!$G$7=21,'ka09'!K5,0)</f>
        <v>0</v>
      </c>
    </row>
    <row r="6" spans="1:30" x14ac:dyDescent="0.25">
      <c r="A6">
        <v>28</v>
      </c>
      <c r="B6" s="2">
        <v>25.8</v>
      </c>
      <c r="C6" s="2">
        <v>47.5</v>
      </c>
      <c r="D6" s="2">
        <v>104</v>
      </c>
      <c r="E6" s="4">
        <f t="shared" si="4"/>
        <v>104</v>
      </c>
      <c r="F6" s="2">
        <f>(B6+C6+D6)*13-11.67*3-19.45*33</f>
        <v>1628.04</v>
      </c>
      <c r="G6" s="4">
        <f>E6*13-19.45*13</f>
        <v>1099.1500000000001</v>
      </c>
      <c r="H6" s="2">
        <f t="shared" si="5"/>
        <v>181.52645999999999</v>
      </c>
      <c r="I6" s="5">
        <f t="shared" si="6"/>
        <v>122.55522500000001</v>
      </c>
      <c r="J6" s="6">
        <f t="shared" si="7"/>
        <v>1446.5135399999999</v>
      </c>
      <c r="K6" s="5">
        <f t="shared" si="3"/>
        <v>1118.3207750000001</v>
      </c>
      <c r="L6" s="1">
        <v>25</v>
      </c>
      <c r="M6" s="3">
        <v>35</v>
      </c>
      <c r="N6" s="7">
        <f t="shared" si="8"/>
        <v>1084.8851549999999</v>
      </c>
      <c r="O6" s="8">
        <f t="shared" si="9"/>
        <v>726.90850375000014</v>
      </c>
      <c r="P6" s="4">
        <v>156</v>
      </c>
      <c r="Q6" s="5">
        <f t="shared" si="10"/>
        <v>141.726</v>
      </c>
      <c r="R6" s="5">
        <f t="shared" si="11"/>
        <v>92.121900000000011</v>
      </c>
      <c r="S6" s="10">
        <f t="shared" si="12"/>
        <v>1903.9155587500002</v>
      </c>
      <c r="T6" s="14">
        <f>IF(Foglio1!$G$7=28,'ka09'!J6,0)</f>
        <v>0</v>
      </c>
      <c r="U6" s="14">
        <f>IF(Foglio1!$G$7=28,'ka09'!K6,0)</f>
        <v>0</v>
      </c>
    </row>
    <row r="7" spans="1:30" x14ac:dyDescent="0.25">
      <c r="A7">
        <v>35</v>
      </c>
      <c r="B7" s="2">
        <v>27.8</v>
      </c>
      <c r="C7" s="2">
        <v>51.2</v>
      </c>
      <c r="D7" s="2">
        <v>113</v>
      </c>
      <c r="E7" s="4">
        <f t="shared" si="4"/>
        <v>113</v>
      </c>
      <c r="F7" s="2">
        <f>(B7+C7+D7)*13-12.57*3-20.95*33</f>
        <v>1766.94</v>
      </c>
      <c r="G7" s="4">
        <f>E7*13-20.95*13</f>
        <v>1196.6500000000001</v>
      </c>
      <c r="H7" s="2">
        <f t="shared" si="5"/>
        <v>197.01381000000001</v>
      </c>
      <c r="I7" s="5">
        <f t="shared" si="6"/>
        <v>133.42647500000001</v>
      </c>
      <c r="J7" s="6">
        <f t="shared" si="7"/>
        <v>1569.9261900000001</v>
      </c>
      <c r="K7" s="5">
        <f t="shared" si="3"/>
        <v>1204.949525</v>
      </c>
      <c r="L7" s="1">
        <v>25</v>
      </c>
      <c r="M7" s="3">
        <v>35</v>
      </c>
      <c r="N7" s="7">
        <f t="shared" si="8"/>
        <v>1177.4446425000001</v>
      </c>
      <c r="O7" s="8">
        <f t="shared" si="9"/>
        <v>783.21719125000004</v>
      </c>
      <c r="P7" s="4">
        <v>156</v>
      </c>
      <c r="Q7" s="5">
        <f t="shared" si="10"/>
        <v>141.726</v>
      </c>
      <c r="R7" s="5">
        <f t="shared" si="11"/>
        <v>92.121900000000011</v>
      </c>
      <c r="S7" s="10">
        <f t="shared" si="12"/>
        <v>2052.78373375</v>
      </c>
      <c r="T7" s="14">
        <f>IF(Foglio1!$G$7=35,'ka09'!J7,0)</f>
        <v>0</v>
      </c>
      <c r="U7" s="14">
        <f>IF(Foglio1!$G$7=35,'ka09'!K7,0)</f>
        <v>0</v>
      </c>
    </row>
    <row r="8" spans="1:30" x14ac:dyDescent="0.25">
      <c r="T8" s="12">
        <f>SUM(T2:T7)</f>
        <v>1001.4461199999998</v>
      </c>
      <c r="U8" s="12">
        <f>SUM(U2:U7)</f>
        <v>818.46979499999998</v>
      </c>
    </row>
    <row r="13" spans="1:30" x14ac:dyDescent="0.25">
      <c r="U13" s="1">
        <v>2019</v>
      </c>
      <c r="V13" s="3" t="s">
        <v>6</v>
      </c>
      <c r="W13" s="1">
        <v>2020</v>
      </c>
      <c r="X13" s="3" t="s">
        <v>6</v>
      </c>
      <c r="Y13" s="1">
        <v>2021</v>
      </c>
      <c r="Z13" s="3" t="s">
        <v>6</v>
      </c>
      <c r="AA13" s="3">
        <v>2022</v>
      </c>
      <c r="AB13" s="3" t="s">
        <v>6</v>
      </c>
      <c r="AC13" s="3" t="s">
        <v>54</v>
      </c>
      <c r="AD13" s="3" t="s">
        <v>6</v>
      </c>
    </row>
    <row r="14" spans="1:30" x14ac:dyDescent="0.25">
      <c r="U14" s="2">
        <f>(B2)*13-8.05*3-13.41*7</f>
        <v>113.38</v>
      </c>
      <c r="V14" s="14">
        <f>IF(Foglio1!$G$7=0,'ka09'!U14,0)</f>
        <v>113.38</v>
      </c>
      <c r="W14" s="2">
        <f>(C2)*13-13.41*13</f>
        <v>252.06999999999996</v>
      </c>
      <c r="X14" s="14">
        <f>IF(Foglio1!$G$7=0,'ka09'!W14,0)</f>
        <v>252.06999999999996</v>
      </c>
      <c r="Y14" s="2">
        <f>D2*13-8.05*3-13.41*33</f>
        <v>469.32</v>
      </c>
      <c r="Z14" s="14">
        <f>IF(Foglio1!$G$7=0,'ka09'!Y14,0)</f>
        <v>469.32</v>
      </c>
      <c r="AA14" s="4">
        <f>G2+P2</f>
        <v>917.67</v>
      </c>
      <c r="AB14" s="14">
        <f>IF(Foglio1!$G$7=0,'ka09'!AA14,0)</f>
        <v>917.67</v>
      </c>
      <c r="AC14" s="12">
        <f>K2</f>
        <v>818.46979499999998</v>
      </c>
      <c r="AD14" s="14">
        <f>IF(Foglio1!$G$7=0,'ka09'!AC14,0)</f>
        <v>818.46979499999998</v>
      </c>
    </row>
    <row r="15" spans="1:30" x14ac:dyDescent="0.25">
      <c r="U15" s="2">
        <f>(B3)*13-9*3-15*7</f>
        <v>126.69999999999999</v>
      </c>
      <c r="V15" s="14">
        <f>IF(Foglio1!$G$7=9,'ka09'!U15,0)</f>
        <v>0</v>
      </c>
      <c r="W15" s="2">
        <f>(C3)*13-15*13</f>
        <v>282.10000000000002</v>
      </c>
      <c r="X15" s="14">
        <f>IF(Foglio1!$G$7=9,'ka09'!W15,0)</f>
        <v>0</v>
      </c>
      <c r="Y15" s="2">
        <f>D3*13-9*3-15*33</f>
        <v>518</v>
      </c>
      <c r="Z15" s="14">
        <f>IF(Foglio1!$G$7=9,'ka09'!Y15,0)</f>
        <v>0</v>
      </c>
      <c r="AA15" s="4">
        <f t="shared" ref="AA15:AA19" si="13">G3+P3</f>
        <v>1001</v>
      </c>
      <c r="AB15" s="14">
        <f>IF(Foglio1!$G$7=9,'ka09'!AA15,0)</f>
        <v>0</v>
      </c>
      <c r="AC15" s="12">
        <f t="shared" ref="AC15:AC19" si="14">K3</f>
        <v>892.50850000000003</v>
      </c>
      <c r="AD15" s="14">
        <f>IF(Foglio1!$G$7=9,'ka09'!AC15,0)</f>
        <v>0</v>
      </c>
    </row>
    <row r="16" spans="1:30" x14ac:dyDescent="0.25">
      <c r="U16" s="2">
        <f>(B4)*13-9.84*3-16.4*7</f>
        <v>139.08000000000004</v>
      </c>
      <c r="V16" s="14">
        <f>IF(Foglio1!$G$7=15,'ka09'!U16,0)</f>
        <v>0</v>
      </c>
      <c r="W16" s="2">
        <f>(C4)*13-16.4*13</f>
        <v>308.10000000000008</v>
      </c>
      <c r="X16" s="14">
        <f>IF(Foglio1!$G$7=15,'ka09'!W16,0)</f>
        <v>0</v>
      </c>
      <c r="Y16" s="2">
        <f>D4*13-9.84*3-16.4*33</f>
        <v>573.28000000000009</v>
      </c>
      <c r="Z16" s="14">
        <f>IF(Foglio1!$G$7=15,'ka09'!Y16,0)</f>
        <v>0</v>
      </c>
      <c r="AA16" s="4">
        <f t="shared" si="13"/>
        <v>1085.5</v>
      </c>
      <c r="AB16" s="14">
        <f>IF(Foglio1!$G$7=15,'ka09'!AA16,0)</f>
        <v>0</v>
      </c>
      <c r="AC16" s="12">
        <f t="shared" si="14"/>
        <v>967.58675000000005</v>
      </c>
      <c r="AD16" s="14">
        <f>IF(Foglio1!$G$7=15,'ka09'!AC16,0)</f>
        <v>0</v>
      </c>
    </row>
    <row r="17" spans="9:30" x14ac:dyDescent="0.25">
      <c r="U17" s="2">
        <f>(B5)*13-10.74*3-17.9*7</f>
        <v>151.88000000000008</v>
      </c>
      <c r="V17" s="14">
        <f>IF(Foglio1!$G$7=21,'ka09'!U17,0)</f>
        <v>0</v>
      </c>
      <c r="W17" s="2">
        <f>(C5)*13-17.9*13</f>
        <v>336.7</v>
      </c>
      <c r="X17" s="14">
        <f>IF(Foglio1!$G$7=21,'ka09'!W17,0)</f>
        <v>0</v>
      </c>
      <c r="Y17" s="2">
        <f>D5*13-10.74*3-17.9*33</f>
        <v>625.08000000000004</v>
      </c>
      <c r="Z17" s="14">
        <f>IF(Foglio1!$G$7=21,'ka09'!Y17,0)</f>
        <v>0</v>
      </c>
      <c r="AA17" s="4">
        <f t="shared" si="13"/>
        <v>1171.3</v>
      </c>
      <c r="AB17" s="14">
        <f>IF(Foglio1!$G$7=21,'ka09'!AA17,0)</f>
        <v>0</v>
      </c>
      <c r="AC17" s="12">
        <f t="shared" si="14"/>
        <v>1043.8200499999998</v>
      </c>
      <c r="AD17" s="14">
        <f>IF(Foglio1!$G$7=21,'ka09'!AC17,0)</f>
        <v>0</v>
      </c>
    </row>
    <row r="18" spans="9:30" x14ac:dyDescent="0.25">
      <c r="U18" s="2">
        <f>(B6)*13-11.67*3-19.45*7</f>
        <v>164.24000000000004</v>
      </c>
      <c r="V18" s="14">
        <f>IF(Foglio1!$G$7=28,'ka09'!U18,0)</f>
        <v>0</v>
      </c>
      <c r="W18" s="2">
        <f>(C6)*13-19.45*13</f>
        <v>364.65</v>
      </c>
      <c r="X18" s="14">
        <f>IF(Foglio1!$G$7=28,'ka09'!W18,0)</f>
        <v>0</v>
      </c>
      <c r="Y18" s="2">
        <f>D6*13-11.67*3-19.45*33</f>
        <v>675.14</v>
      </c>
      <c r="Z18" s="14">
        <f>IF(Foglio1!$G$7=28,'ka09'!Y18,0)</f>
        <v>0</v>
      </c>
      <c r="AA18" s="4">
        <f t="shared" si="13"/>
        <v>1255.1500000000001</v>
      </c>
      <c r="AB18" s="14">
        <f>IF(Foglio1!$G$7=28,'ka09'!AA18,0)</f>
        <v>0</v>
      </c>
      <c r="AC18" s="12">
        <f t="shared" si="14"/>
        <v>1118.3207750000001</v>
      </c>
      <c r="AD18" s="14">
        <f>IF(Foglio1!$G$7=28,'ka09'!AC18,0)</f>
        <v>0</v>
      </c>
    </row>
    <row r="19" spans="9:30" x14ac:dyDescent="0.25">
      <c r="U19" s="2">
        <f>(B7)*13-12.57*3-20.95*7</f>
        <v>177.04000000000005</v>
      </c>
      <c r="V19" s="14">
        <f>IF(Foglio1!$G$7=35,'ka09'!U19,0)</f>
        <v>0</v>
      </c>
      <c r="W19" s="2">
        <f>(C7)*13-20.95*13</f>
        <v>393.25000000000006</v>
      </c>
      <c r="X19" s="14">
        <f>IF(Foglio1!$G$7=35,'ka09'!W19,0)</f>
        <v>0</v>
      </c>
      <c r="Y19" s="2">
        <f>D7*13-12.57*3-20.95*33</f>
        <v>739.93999999999994</v>
      </c>
      <c r="Z19" s="14">
        <f>IF(Foglio1!$G$7=35,'ka09'!Y19,0)</f>
        <v>0</v>
      </c>
      <c r="AA19" s="4">
        <f t="shared" si="13"/>
        <v>1352.65</v>
      </c>
      <c r="AB19" s="14">
        <f>IF(Foglio1!$G$7=35,'ka09'!AA19,0)</f>
        <v>0</v>
      </c>
      <c r="AC19" s="12">
        <f t="shared" si="14"/>
        <v>1204.949525</v>
      </c>
      <c r="AD19" s="14">
        <f>IF(Foglio1!$G$7=35,'ka09'!AC19,0)</f>
        <v>0</v>
      </c>
    </row>
    <row r="20" spans="9:30" x14ac:dyDescent="0.25">
      <c r="V20" s="12">
        <f>SUM(V14:V19)</f>
        <v>113.38</v>
      </c>
      <c r="X20" s="12">
        <f>SUM(X14:X19)</f>
        <v>252.06999999999996</v>
      </c>
      <c r="Z20" s="12">
        <f>SUM(Z14:Z19)</f>
        <v>469.32</v>
      </c>
      <c r="AB20" s="12">
        <f>SUM(AB14:AB19)</f>
        <v>917.67</v>
      </c>
      <c r="AD20" s="12">
        <f>SUM(AD14:AD19)</f>
        <v>818.46979499999998</v>
      </c>
    </row>
    <row r="23" spans="9:30" ht="15" customHeight="1" x14ac:dyDescent="0.25">
      <c r="I23" t="s">
        <v>50</v>
      </c>
    </row>
    <row r="24" spans="9:30" ht="15" customHeight="1" x14ac:dyDescent="0.25"/>
    <row r="26" spans="9:30" x14ac:dyDescent="0.25">
      <c r="I26">
        <f>IF(Foglio1!A5='ka09'!I23,1,0)</f>
        <v>0</v>
      </c>
      <c r="J26" s="12">
        <f>T8*I26</f>
        <v>0</v>
      </c>
      <c r="K26" s="12">
        <f>U8*I26</f>
        <v>0</v>
      </c>
      <c r="V26" s="12">
        <f>V20*I26</f>
        <v>0</v>
      </c>
      <c r="X26" s="12">
        <f>I26*X20</f>
        <v>0</v>
      </c>
      <c r="Z26" s="12">
        <f>I26*Z20</f>
        <v>0</v>
      </c>
      <c r="AB26" s="12">
        <f>I26*AB20</f>
        <v>0</v>
      </c>
      <c r="AD26" s="12">
        <f>I26*AD20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24D4D-6906-473B-839E-5936FE799BCD}">
  <dimension ref="A1:AD27"/>
  <sheetViews>
    <sheetView workbookViewId="0">
      <selection activeCell="G2" sqref="G2"/>
    </sheetView>
  </sheetViews>
  <sheetFormatPr defaultRowHeight="15" x14ac:dyDescent="0.25"/>
  <cols>
    <col min="6" max="6" width="12" bestFit="1" customWidth="1"/>
    <col min="7" max="7" width="13.140625" bestFit="1" customWidth="1"/>
    <col min="10" max="11" width="11" bestFit="1" customWidth="1"/>
    <col min="14" max="14" width="11" bestFit="1" customWidth="1"/>
    <col min="16" max="16" width="9.42578125" bestFit="1" customWidth="1"/>
    <col min="19" max="19" width="11.7109375" bestFit="1" customWidth="1"/>
    <col min="20" max="21" width="11" bestFit="1" customWidth="1"/>
    <col min="23" max="25" width="9.42578125" bestFit="1" customWidth="1"/>
    <col min="27" max="27" width="11" bestFit="1" customWidth="1"/>
    <col min="29" max="29" width="11" bestFit="1" customWidth="1"/>
  </cols>
  <sheetData>
    <row r="1" spans="1:30" x14ac:dyDescent="0.25">
      <c r="B1" s="1">
        <v>2019</v>
      </c>
      <c r="C1" s="1">
        <v>2020</v>
      </c>
      <c r="D1" s="1">
        <v>2021</v>
      </c>
      <c r="E1" s="3">
        <v>2022</v>
      </c>
      <c r="F1" s="1" t="s">
        <v>2</v>
      </c>
      <c r="G1" s="3" t="s">
        <v>1</v>
      </c>
      <c r="H1" s="1" t="s">
        <v>3</v>
      </c>
      <c r="I1" s="3" t="s">
        <v>3</v>
      </c>
      <c r="J1" s="1" t="s">
        <v>4</v>
      </c>
      <c r="K1" s="3" t="s">
        <v>4</v>
      </c>
      <c r="L1" s="1" t="s">
        <v>5</v>
      </c>
      <c r="M1" s="3" t="s">
        <v>6</v>
      </c>
      <c r="N1" s="1" t="s">
        <v>5</v>
      </c>
      <c r="O1" s="3" t="s">
        <v>6</v>
      </c>
      <c r="P1" s="3" t="s">
        <v>14</v>
      </c>
      <c r="Q1" s="3" t="s">
        <v>4</v>
      </c>
      <c r="R1" s="3" t="s">
        <v>8</v>
      </c>
      <c r="S1" s="9" t="s">
        <v>9</v>
      </c>
      <c r="T1" s="3" t="s">
        <v>27</v>
      </c>
      <c r="U1" s="3" t="s">
        <v>6</v>
      </c>
    </row>
    <row r="2" spans="1:30" x14ac:dyDescent="0.25">
      <c r="A2" t="s">
        <v>12</v>
      </c>
      <c r="B2" s="2">
        <v>15.6</v>
      </c>
      <c r="C2" s="2">
        <v>28.7</v>
      </c>
      <c r="D2" s="2">
        <v>63</v>
      </c>
      <c r="E2" s="4">
        <v>63</v>
      </c>
      <c r="F2" s="2">
        <f>(B2+C2+D2)*13-7.05*3-11.75*33</f>
        <v>985.99999999999977</v>
      </c>
      <c r="G2" s="4">
        <f>E2*13-11.75*13</f>
        <v>666.25</v>
      </c>
      <c r="H2" s="2">
        <f t="shared" ref="H2:I4" si="0">F2*11.15%</f>
        <v>109.93899999999998</v>
      </c>
      <c r="I2" s="5">
        <f t="shared" si="0"/>
        <v>74.286874999999995</v>
      </c>
      <c r="J2" s="6">
        <f t="shared" ref="J2:J4" si="1">F2-H2</f>
        <v>876.06099999999981</v>
      </c>
      <c r="K2" s="5">
        <f>G2-I2+Q2</f>
        <v>700.98312499999997</v>
      </c>
      <c r="L2" s="1">
        <v>24</v>
      </c>
      <c r="M2" s="3">
        <v>25</v>
      </c>
      <c r="N2" s="7">
        <f t="shared" ref="N2:O4" si="2">J2*(100-L2)/100</f>
        <v>665.80635999999981</v>
      </c>
      <c r="O2" s="8">
        <f t="shared" si="2"/>
        <v>525.73734375000004</v>
      </c>
      <c r="P2" s="4">
        <f>10*12</f>
        <v>120</v>
      </c>
      <c r="Q2" s="5">
        <f>P2*(100-9.15)/100</f>
        <v>109.02</v>
      </c>
      <c r="R2" s="5">
        <f>Q2*(100-M2)/100</f>
        <v>81.765000000000001</v>
      </c>
      <c r="S2" s="10">
        <f>N2+O2+R2</f>
        <v>1273.3087037499999</v>
      </c>
      <c r="T2" s="14">
        <f>IF(Foglio1!$G$7=0,'KA05'!J2,0)</f>
        <v>876.06099999999981</v>
      </c>
      <c r="U2" s="14">
        <f>IF(Foglio1!$G$7=0,'KA05'!K2,0)</f>
        <v>700.98312499999997</v>
      </c>
    </row>
    <row r="3" spans="1:30" x14ac:dyDescent="0.25">
      <c r="A3">
        <v>9</v>
      </c>
      <c r="B3" s="2">
        <v>17.3</v>
      </c>
      <c r="C3" s="2">
        <v>31.9</v>
      </c>
      <c r="D3" s="2">
        <v>70</v>
      </c>
      <c r="E3" s="4">
        <f>D3</f>
        <v>70</v>
      </c>
      <c r="F3" s="2">
        <f>(B3+C3+D3)*13-7.82*3-13.03*33</f>
        <v>1096.1500000000001</v>
      </c>
      <c r="G3" s="4">
        <f>E3*13-13.03*13</f>
        <v>740.61</v>
      </c>
      <c r="H3" s="2">
        <f t="shared" si="0"/>
        <v>122.22072500000002</v>
      </c>
      <c r="I3" s="5">
        <f t="shared" si="0"/>
        <v>82.578015000000008</v>
      </c>
      <c r="J3" s="6">
        <f t="shared" si="1"/>
        <v>973.92927500000008</v>
      </c>
      <c r="K3" s="5">
        <f t="shared" ref="K3:K7" si="3">G3-I3+Q3</f>
        <v>767.05198499999995</v>
      </c>
      <c r="L3" s="1">
        <v>24</v>
      </c>
      <c r="M3" s="3">
        <v>25</v>
      </c>
      <c r="N3" s="7">
        <f t="shared" si="2"/>
        <v>740.18624900000009</v>
      </c>
      <c r="O3" s="8">
        <f t="shared" si="2"/>
        <v>575.28898875000004</v>
      </c>
      <c r="P3" s="4">
        <f>10*12</f>
        <v>120</v>
      </c>
      <c r="Q3" s="5">
        <f>P3*(100-9.15)/100</f>
        <v>109.02</v>
      </c>
      <c r="R3" s="5">
        <f>Q3*(100-M3)/100</f>
        <v>81.765000000000001</v>
      </c>
      <c r="S3" s="10">
        <f>N3+O3+R3</f>
        <v>1397.2402377500002</v>
      </c>
      <c r="T3" s="14">
        <f>IF(Foglio1!$G$7=9,'KA05'!J3,0)</f>
        <v>0</v>
      </c>
      <c r="U3" s="14">
        <f>IF(Foglio1!$G$7=9,'KA05'!K3,0)</f>
        <v>0</v>
      </c>
    </row>
    <row r="4" spans="1:30" x14ac:dyDescent="0.25">
      <c r="A4">
        <v>15</v>
      </c>
      <c r="B4" s="2">
        <v>18.8</v>
      </c>
      <c r="C4" s="2">
        <v>34.6</v>
      </c>
      <c r="D4" s="2">
        <v>77</v>
      </c>
      <c r="E4" s="4">
        <f>D4</f>
        <v>77</v>
      </c>
      <c r="F4" s="2">
        <f>(B4+C4+D4)*13-8.5*3-14.16*33</f>
        <v>1202.42</v>
      </c>
      <c r="G4" s="4">
        <f>E4*13-14.16*13</f>
        <v>816.92</v>
      </c>
      <c r="H4" s="2">
        <f t="shared" si="0"/>
        <v>134.06983000000002</v>
      </c>
      <c r="I4" s="5">
        <f t="shared" si="0"/>
        <v>91.086579999999998</v>
      </c>
      <c r="J4" s="6">
        <f t="shared" si="1"/>
        <v>1068.3501700000002</v>
      </c>
      <c r="K4" s="5">
        <f t="shared" si="3"/>
        <v>856.65741999999989</v>
      </c>
      <c r="L4" s="1">
        <v>24</v>
      </c>
      <c r="M4" s="3">
        <v>25</v>
      </c>
      <c r="N4" s="7">
        <f t="shared" si="2"/>
        <v>811.94612920000009</v>
      </c>
      <c r="O4" s="8">
        <f t="shared" si="2"/>
        <v>642.49306499999989</v>
      </c>
      <c r="P4" s="4">
        <f>12*12</f>
        <v>144</v>
      </c>
      <c r="Q4" s="5">
        <f>P4*(100-9.15)/100</f>
        <v>130.82399999999998</v>
      </c>
      <c r="R4" s="5">
        <f>Q4*(100-M4)/100</f>
        <v>98.117999999999995</v>
      </c>
      <c r="S4" s="10">
        <f>N4+O4+R4</f>
        <v>1552.5571941999999</v>
      </c>
      <c r="T4" s="14">
        <f>IF(Foglio1!$G$7=15,'KA05'!J4,0)</f>
        <v>0</v>
      </c>
      <c r="U4" s="14">
        <f>IF(Foglio1!$G$7=15,'KA05'!K4,0)</f>
        <v>0</v>
      </c>
    </row>
    <row r="5" spans="1:30" x14ac:dyDescent="0.25">
      <c r="A5">
        <v>21</v>
      </c>
      <c r="B5" s="2">
        <v>20.3</v>
      </c>
      <c r="C5" s="2">
        <v>37.299999999999997</v>
      </c>
      <c r="D5" s="2">
        <v>83</v>
      </c>
      <c r="E5" s="4">
        <f t="shared" ref="E5:E6" si="4">D5</f>
        <v>83</v>
      </c>
      <c r="F5" s="2">
        <f>(B5+C5+D5)*13-9.16*3-15.27*33</f>
        <v>1296.4099999999999</v>
      </c>
      <c r="G5" s="4">
        <f>E5*13-15.27*13</f>
        <v>880.49</v>
      </c>
      <c r="H5" s="2">
        <f t="shared" ref="H5:H6" si="5">F5*11.15%</f>
        <v>144.54971499999999</v>
      </c>
      <c r="I5" s="5">
        <f t="shared" ref="I5:I6" si="6">G5*11.15%</f>
        <v>98.174635000000009</v>
      </c>
      <c r="J5" s="6">
        <f t="shared" ref="J5:J6" si="7">F5-H5</f>
        <v>1151.8602849999997</v>
      </c>
      <c r="K5" s="5">
        <f t="shared" si="3"/>
        <v>913.139365</v>
      </c>
      <c r="L5" s="1">
        <v>24</v>
      </c>
      <c r="M5" s="3">
        <v>25</v>
      </c>
      <c r="N5" s="7">
        <f t="shared" ref="N5:N6" si="8">J5*(100-L5)/100</f>
        <v>875.41381659999979</v>
      </c>
      <c r="O5" s="8">
        <f t="shared" ref="O5:O6" si="9">K5*(100-M5)/100</f>
        <v>684.85452374999988</v>
      </c>
      <c r="P5" s="4">
        <f t="shared" ref="P5" si="10">12*12</f>
        <v>144</v>
      </c>
      <c r="Q5" s="5">
        <f t="shared" ref="Q5:Q6" si="11">P5*(100-9.15)/100</f>
        <v>130.82399999999998</v>
      </c>
      <c r="R5" s="5">
        <f t="shared" ref="R5:R6" si="12">Q5*(100-M5)/100</f>
        <v>98.117999999999995</v>
      </c>
      <c r="S5" s="10">
        <f t="shared" ref="S5:S6" si="13">N5+O5+R5</f>
        <v>1658.3863403499995</v>
      </c>
      <c r="T5" s="14">
        <f>IF(Foglio1!$G$7=21,'KA05'!J5,0)</f>
        <v>0</v>
      </c>
      <c r="U5" s="14">
        <f>IF(Foglio1!$G$7=21,'KA05'!K5,0)</f>
        <v>0</v>
      </c>
    </row>
    <row r="6" spans="1:30" x14ac:dyDescent="0.25">
      <c r="A6">
        <v>28</v>
      </c>
      <c r="B6" s="2">
        <v>21.7</v>
      </c>
      <c r="C6" s="2">
        <v>40</v>
      </c>
      <c r="D6" s="2">
        <v>89</v>
      </c>
      <c r="E6" s="4">
        <f t="shared" si="4"/>
        <v>89</v>
      </c>
      <c r="F6" s="2">
        <f>(B6+C6+D6)*13-9.81*3-16.35*33</f>
        <v>1390.12</v>
      </c>
      <c r="G6" s="4">
        <f>E6*13-15.35*13</f>
        <v>957.45</v>
      </c>
      <c r="H6" s="2">
        <f t="shared" si="5"/>
        <v>154.99838</v>
      </c>
      <c r="I6" s="5">
        <f t="shared" si="6"/>
        <v>106.75567500000001</v>
      </c>
      <c r="J6" s="6">
        <f t="shared" si="7"/>
        <v>1235.1216199999999</v>
      </c>
      <c r="K6" s="5">
        <f t="shared" si="3"/>
        <v>1014.224325</v>
      </c>
      <c r="L6" s="1">
        <v>25.18</v>
      </c>
      <c r="M6" s="3">
        <v>35</v>
      </c>
      <c r="N6" s="7">
        <f t="shared" si="8"/>
        <v>924.11799608399986</v>
      </c>
      <c r="O6" s="8">
        <f t="shared" si="9"/>
        <v>659.24581124999997</v>
      </c>
      <c r="P6" s="4">
        <f>15*12</f>
        <v>180</v>
      </c>
      <c r="Q6" s="5">
        <f t="shared" si="11"/>
        <v>163.52999999999997</v>
      </c>
      <c r="R6" s="5">
        <f t="shared" si="12"/>
        <v>106.29449999999999</v>
      </c>
      <c r="S6" s="10">
        <f t="shared" si="13"/>
        <v>1689.6583073339998</v>
      </c>
      <c r="T6" s="14">
        <f>IF(Foglio1!$G$7=28,'KA05'!J6,0)</f>
        <v>0</v>
      </c>
      <c r="U6" s="14">
        <f>IF(Foglio1!$G$7=28,'KA05'!K6,0)</f>
        <v>0</v>
      </c>
    </row>
    <row r="7" spans="1:30" x14ac:dyDescent="0.25">
      <c r="A7">
        <v>35</v>
      </c>
      <c r="B7" s="2">
        <v>22.8</v>
      </c>
      <c r="C7" s="2">
        <v>41.9</v>
      </c>
      <c r="D7" s="2">
        <v>93</v>
      </c>
      <c r="E7" s="4">
        <f>D7</f>
        <v>93</v>
      </c>
      <c r="F7" s="2">
        <f>(B7+C7+D7)*13-10.3*3-16.35*33</f>
        <v>1479.6499999999996</v>
      </c>
      <c r="G7" s="4">
        <f>E7*13-17.16*13</f>
        <v>985.92</v>
      </c>
      <c r="H7" s="2">
        <f t="shared" ref="H7" si="14">F7*11.15%</f>
        <v>164.98097499999997</v>
      </c>
      <c r="I7" s="5">
        <f t="shared" ref="I7" si="15">G7*11.15%</f>
        <v>109.93008</v>
      </c>
      <c r="J7" s="6">
        <f t="shared" ref="J7" si="16">F7-H7</f>
        <v>1314.6690249999997</v>
      </c>
      <c r="K7" s="5">
        <f t="shared" si="3"/>
        <v>1039.51992</v>
      </c>
      <c r="L7" s="1">
        <v>25.18</v>
      </c>
      <c r="M7" s="3">
        <v>35</v>
      </c>
      <c r="N7" s="7">
        <f t="shared" ref="N7" si="17">J7*(100-L7)/100</f>
        <v>983.63536450499976</v>
      </c>
      <c r="O7" s="8">
        <f t="shared" ref="O7" si="18">K7*(100-M7)/100</f>
        <v>675.68794800000001</v>
      </c>
      <c r="P7" s="4">
        <f>15*12</f>
        <v>180</v>
      </c>
      <c r="Q7" s="5">
        <f>P7*(100-9.15)/100</f>
        <v>163.52999999999997</v>
      </c>
      <c r="R7" s="5">
        <f>Q7*(100-M7)/100</f>
        <v>106.29449999999999</v>
      </c>
      <c r="S7" s="10">
        <f>N7+O7+R7</f>
        <v>1765.6178125049996</v>
      </c>
      <c r="T7" s="14">
        <f>IF(Foglio1!$G$7=35,'KA05'!J7,0)</f>
        <v>0</v>
      </c>
      <c r="U7" s="14">
        <f>IF(Foglio1!$G$7=35,'KA05'!K7,0)</f>
        <v>0</v>
      </c>
    </row>
    <row r="8" spans="1:30" x14ac:dyDescent="0.25">
      <c r="T8" s="12">
        <f>SUM(T2:T7)</f>
        <v>876.06099999999981</v>
      </c>
      <c r="U8" s="12">
        <f>SUM(U2:U7)</f>
        <v>700.98312499999997</v>
      </c>
    </row>
    <row r="13" spans="1:30" x14ac:dyDescent="0.25">
      <c r="U13" s="1">
        <v>2019</v>
      </c>
      <c r="V13" s="3" t="s">
        <v>27</v>
      </c>
      <c r="W13" s="1">
        <v>2020</v>
      </c>
      <c r="X13" s="3" t="s">
        <v>27</v>
      </c>
      <c r="Y13" s="1" t="s">
        <v>2</v>
      </c>
      <c r="Z13" s="3" t="s">
        <v>27</v>
      </c>
      <c r="AA13" s="3">
        <v>2022</v>
      </c>
      <c r="AB13" s="3" t="s">
        <v>27</v>
      </c>
      <c r="AC13" s="3" t="s">
        <v>52</v>
      </c>
      <c r="AD13" s="3" t="s">
        <v>27</v>
      </c>
    </row>
    <row r="14" spans="1:30" x14ac:dyDescent="0.25">
      <c r="U14" s="2">
        <f>(B2)*13-7.05*3-11.75*7</f>
        <v>99.399999999999977</v>
      </c>
      <c r="V14" s="14">
        <f>IF(Foglio1!$G$7=0,'KA04'!U14,0)</f>
        <v>98.120000000000019</v>
      </c>
      <c r="W14" s="2">
        <f>(C2)*13-11.75*13</f>
        <v>220.34999999999997</v>
      </c>
      <c r="X14" s="14">
        <f>IF(Foglio1!$G$7=0,'KA05'!W14,0)</f>
        <v>220.34999999999997</v>
      </c>
      <c r="Y14" s="2">
        <f>(D2)*13-7.05*3-11.75*33</f>
        <v>410.1</v>
      </c>
      <c r="Z14" s="14">
        <f>IF(Foglio1!$G$7=0,'KA05'!Y14,0)</f>
        <v>410.1</v>
      </c>
      <c r="AA14" s="4">
        <f>G2+P2</f>
        <v>786.25</v>
      </c>
      <c r="AB14" s="14">
        <f>IF(Foglio1!$G$7=0,'KA05'!AA14,0)</f>
        <v>786.25</v>
      </c>
      <c r="AC14" s="12">
        <f>K2</f>
        <v>700.98312499999997</v>
      </c>
      <c r="AD14" s="14">
        <f>IF(Foglio1!$G$7=0,'KA05'!AC14,0)</f>
        <v>700.98312499999997</v>
      </c>
    </row>
    <row r="15" spans="1:30" x14ac:dyDescent="0.25">
      <c r="U15" s="2">
        <f>(B3)*13-7.82*3-13.03*7</f>
        <v>110.23</v>
      </c>
      <c r="V15" s="14">
        <f>IF(Foglio1!$G$7=9,'KA04'!U15,0)</f>
        <v>0</v>
      </c>
      <c r="W15" s="2">
        <f>(C3)*13-13.03*13</f>
        <v>245.31</v>
      </c>
      <c r="X15" s="14">
        <f>IF(Foglio1!$G$7=9,'KA05'!W15,0)</f>
        <v>0</v>
      </c>
      <c r="Y15" s="2">
        <f>D3*13-7.82*3-13.03*33</f>
        <v>456.55</v>
      </c>
      <c r="Z15" s="14">
        <f>IF(Foglio1!$G$7=9,'KA05'!Y15,0)</f>
        <v>0</v>
      </c>
      <c r="AA15" s="4">
        <f t="shared" ref="AA15:AA19" si="19">G3+P3</f>
        <v>860.61</v>
      </c>
      <c r="AB15" s="14">
        <f>IF(Foglio1!$G$7=9,'KA05'!AA15,0)</f>
        <v>0</v>
      </c>
      <c r="AC15" s="12">
        <f t="shared" ref="AC15:AC19" si="20">K3</f>
        <v>767.05198499999995</v>
      </c>
      <c r="AD15" s="14">
        <f>IF(Foglio1!$G$7=9,'KA05'!AC15,0)</f>
        <v>0</v>
      </c>
    </row>
    <row r="16" spans="1:30" x14ac:dyDescent="0.25">
      <c r="U16" s="2">
        <f>(B4)*13-8.5*3-14.16*7</f>
        <v>119.78</v>
      </c>
      <c r="V16" s="14">
        <f>IF(Foglio1!$G$7=15,'KA04'!U16,0)</f>
        <v>0</v>
      </c>
      <c r="W16" s="2">
        <f>(C4)*13-14.16*13</f>
        <v>265.72000000000003</v>
      </c>
      <c r="X16" s="14">
        <f>IF(Foglio1!$G$7=15,'KA05'!W16,0)</f>
        <v>0</v>
      </c>
      <c r="Y16" s="2">
        <f>D4*13-8.5*3-14.16*33</f>
        <v>508.21999999999997</v>
      </c>
      <c r="Z16" s="14">
        <f>IF(Foglio1!$G$7=15,'KA05'!Y16,0)</f>
        <v>0</v>
      </c>
      <c r="AA16" s="4">
        <f t="shared" si="19"/>
        <v>960.92</v>
      </c>
      <c r="AB16" s="14">
        <f>IF(Foglio1!$G$7=15,'KA05'!AA16,0)</f>
        <v>0</v>
      </c>
      <c r="AC16" s="12">
        <f t="shared" si="20"/>
        <v>856.65741999999989</v>
      </c>
      <c r="AD16" s="14">
        <f>IF(Foglio1!$G$7=15,'KA05'!AC16,0)</f>
        <v>0</v>
      </c>
    </row>
    <row r="17" spans="9:30" x14ac:dyDescent="0.25">
      <c r="U17" s="2">
        <f>(B5)*13-9.16*3-15.27*7</f>
        <v>129.53000000000003</v>
      </c>
      <c r="V17" s="14">
        <f>IF(Foglio1!$G$7=21,'KA04'!U17,0)</f>
        <v>0</v>
      </c>
      <c r="W17" s="2">
        <f>(C5)*13-15.27*13</f>
        <v>286.39</v>
      </c>
      <c r="X17" s="14">
        <f>IF(Foglio1!$G$7=21,'KA05'!W17,0)</f>
        <v>0</v>
      </c>
      <c r="Y17" s="2">
        <f>D5*13-9.16*3-15.27*33</f>
        <v>547.61</v>
      </c>
      <c r="Z17" s="14">
        <f>IF(Foglio1!$G$7=21,'KA05'!Y17,0)</f>
        <v>0</v>
      </c>
      <c r="AA17" s="4">
        <f t="shared" si="19"/>
        <v>1024.49</v>
      </c>
      <c r="AB17" s="14">
        <f>IF(Foglio1!$G$7=21,'KA05'!AA17,0)</f>
        <v>0</v>
      </c>
      <c r="AC17" s="12">
        <f t="shared" si="20"/>
        <v>913.139365</v>
      </c>
      <c r="AD17" s="14">
        <f>IF(Foglio1!$G$7=21,'KA05'!AC17,0)</f>
        <v>0</v>
      </c>
    </row>
    <row r="18" spans="9:30" x14ac:dyDescent="0.25">
      <c r="U18" s="2">
        <f>(B6)*13-9.81*3-16.35*7</f>
        <v>138.21999999999994</v>
      </c>
      <c r="V18" s="14">
        <f>IF(Foglio1!$G$7=28,'KA04'!U18,0)</f>
        <v>0</v>
      </c>
      <c r="W18" s="2">
        <f>(C6)*13-16.35*13</f>
        <v>307.45</v>
      </c>
      <c r="X18" s="14">
        <f>IF(Foglio1!$G$7=28,'KA05'!W18,0)</f>
        <v>0</v>
      </c>
      <c r="Y18" s="2">
        <f>D6*13-9.81*3-16.35*33</f>
        <v>588.01999999999987</v>
      </c>
      <c r="Z18" s="14">
        <f>IF(Foglio1!$G$7=28,'KA05'!Y18,0)</f>
        <v>0</v>
      </c>
      <c r="AA18" s="4">
        <f t="shared" si="19"/>
        <v>1137.45</v>
      </c>
      <c r="AB18" s="14">
        <f>IF(Foglio1!$G$7=28,'KA05'!AA18,0)</f>
        <v>0</v>
      </c>
      <c r="AC18" s="12">
        <f t="shared" si="20"/>
        <v>1014.224325</v>
      </c>
      <c r="AD18" s="14">
        <f>IF(Foglio1!$G$7=28,'KA05'!AC18,0)</f>
        <v>0</v>
      </c>
    </row>
    <row r="19" spans="9:30" x14ac:dyDescent="0.25">
      <c r="U19" s="2">
        <f>(B7)*13-10.3*3-16.35*7</f>
        <v>151.05000000000004</v>
      </c>
      <c r="V19" s="14">
        <f>IF(Foglio1!$G$7=35,'KA04'!U19,0)</f>
        <v>0</v>
      </c>
      <c r="W19" s="2">
        <f>(C7)*13-16.35*13</f>
        <v>332.14999999999992</v>
      </c>
      <c r="X19" s="14">
        <f>IF(Foglio1!$G$7=35,'KA05'!W19,0)</f>
        <v>0</v>
      </c>
      <c r="Y19" s="2">
        <f>D7*13-10.3*3-16.35*33</f>
        <v>638.54999999999984</v>
      </c>
      <c r="Z19" s="14">
        <f>IF(Foglio1!$G$7=35,'KA05'!Y19,0)</f>
        <v>0</v>
      </c>
      <c r="AA19" s="4">
        <f t="shared" si="19"/>
        <v>1165.92</v>
      </c>
      <c r="AB19" s="14">
        <f>IF(Foglio1!$G$7=35,'KA05'!AA19,0)</f>
        <v>0</v>
      </c>
      <c r="AC19" s="12">
        <f t="shared" si="20"/>
        <v>1039.51992</v>
      </c>
      <c r="AD19" s="14">
        <f>IF(Foglio1!$G$7=35,'KA05'!AC19,0)</f>
        <v>0</v>
      </c>
    </row>
    <row r="20" spans="9:30" x14ac:dyDescent="0.25">
      <c r="V20" s="12">
        <f>SUM(V14:V19)</f>
        <v>98.120000000000019</v>
      </c>
      <c r="X20" s="12">
        <f>SUM(X14:X19)</f>
        <v>220.34999999999997</v>
      </c>
      <c r="Z20" s="12">
        <f>SUM(Z14:Z19)</f>
        <v>410.1</v>
      </c>
      <c r="AB20" s="12">
        <f>SUM(AB14:AB19)</f>
        <v>786.25</v>
      </c>
      <c r="AD20" s="12">
        <f>SUM(AD14:AD19)</f>
        <v>700.98312499999997</v>
      </c>
    </row>
    <row r="23" spans="9:30" ht="31.5" x14ac:dyDescent="0.5">
      <c r="I23" s="11" t="s">
        <v>33</v>
      </c>
    </row>
    <row r="26" spans="9:30" x14ac:dyDescent="0.25">
      <c r="I26">
        <f>IF(Foglio1!A5='KA05'!I23,1,0)</f>
        <v>1</v>
      </c>
      <c r="J26" s="12">
        <f>T8*I26</f>
        <v>876.06099999999981</v>
      </c>
      <c r="K26" s="12">
        <f>U8*I26</f>
        <v>700.98312499999997</v>
      </c>
      <c r="V26" s="12">
        <f>V20*I26</f>
        <v>98.120000000000019</v>
      </c>
      <c r="X26" s="12">
        <f>X20*I26</f>
        <v>220.34999999999997</v>
      </c>
      <c r="Z26" s="12">
        <f>Z20*I26</f>
        <v>410.1</v>
      </c>
      <c r="AB26" s="12">
        <f>AB20*I26</f>
        <v>786.25</v>
      </c>
      <c r="AD26" s="12">
        <f>AD20*I26</f>
        <v>700.98312499999997</v>
      </c>
    </row>
    <row r="27" spans="9:30" x14ac:dyDescent="0.25">
      <c r="AB27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B2A7C-3BA3-467D-AA0D-15041010A5E9}">
  <dimension ref="A1:AD26"/>
  <sheetViews>
    <sheetView topLeftCell="D1" workbookViewId="0">
      <selection activeCell="AD27" sqref="AD27"/>
    </sheetView>
  </sheetViews>
  <sheetFormatPr defaultRowHeight="15" x14ac:dyDescent="0.25"/>
  <cols>
    <col min="6" max="7" width="11" bestFit="1" customWidth="1"/>
    <col min="10" max="11" width="11" bestFit="1" customWidth="1"/>
    <col min="14" max="14" width="11" bestFit="1" customWidth="1"/>
    <col min="16" max="16" width="9.42578125" bestFit="1" customWidth="1"/>
    <col min="19" max="19" width="11.7109375" bestFit="1" customWidth="1"/>
    <col min="20" max="20" width="11" bestFit="1" customWidth="1"/>
    <col min="21" max="24" width="9.42578125" bestFit="1" customWidth="1"/>
    <col min="25" max="25" width="11" bestFit="1" customWidth="1"/>
    <col min="27" max="29" width="11" bestFit="1" customWidth="1"/>
  </cols>
  <sheetData>
    <row r="1" spans="1:30" x14ac:dyDescent="0.25">
      <c r="B1" s="1">
        <v>2019</v>
      </c>
      <c r="C1" s="1">
        <v>2020</v>
      </c>
      <c r="D1" s="1">
        <v>2021</v>
      </c>
      <c r="E1" s="3">
        <v>2022</v>
      </c>
      <c r="F1" s="1" t="s">
        <v>2</v>
      </c>
      <c r="G1" s="3" t="s">
        <v>1</v>
      </c>
      <c r="H1" s="1" t="s">
        <v>3</v>
      </c>
      <c r="I1" s="3" t="s">
        <v>3</v>
      </c>
      <c r="J1" s="1" t="s">
        <v>4</v>
      </c>
      <c r="K1" s="3" t="s">
        <v>4</v>
      </c>
      <c r="L1" s="1" t="s">
        <v>5</v>
      </c>
      <c r="M1" s="3" t="s">
        <v>6</v>
      </c>
      <c r="N1" s="1" t="s">
        <v>5</v>
      </c>
      <c r="O1" s="3" t="s">
        <v>6</v>
      </c>
      <c r="P1" s="3" t="s">
        <v>14</v>
      </c>
      <c r="Q1" s="3" t="s">
        <v>4</v>
      </c>
      <c r="R1" s="3" t="s">
        <v>8</v>
      </c>
      <c r="S1" s="9" t="s">
        <v>9</v>
      </c>
      <c r="T1" s="3" t="s">
        <v>27</v>
      </c>
      <c r="U1" s="3" t="s">
        <v>6</v>
      </c>
    </row>
    <row r="2" spans="1:30" x14ac:dyDescent="0.25">
      <c r="A2" t="s">
        <v>13</v>
      </c>
      <c r="B2" s="2">
        <v>15.6</v>
      </c>
      <c r="C2" s="2">
        <v>28.7</v>
      </c>
      <c r="D2" s="2">
        <v>63</v>
      </c>
      <c r="E2" s="4">
        <v>63</v>
      </c>
      <c r="F2" s="2">
        <f>(B2+C2+D2)*13-7.05*3-11.75*33</f>
        <v>985.99999999999977</v>
      </c>
      <c r="G2" s="4">
        <f>E2*13-11.75*13</f>
        <v>666.25</v>
      </c>
      <c r="H2" s="2">
        <f t="shared" ref="H2:I4" si="0">F2*11.15%</f>
        <v>109.93899999999998</v>
      </c>
      <c r="I2" s="5">
        <f t="shared" si="0"/>
        <v>74.286874999999995</v>
      </c>
      <c r="J2" s="6">
        <f t="shared" ref="J2:J4" si="1">F2-H2</f>
        <v>876.06099999999981</v>
      </c>
      <c r="K2" s="5">
        <f>G2-I2+Q2</f>
        <v>700.98312499999997</v>
      </c>
      <c r="L2" s="1">
        <v>24</v>
      </c>
      <c r="M2" s="3">
        <v>25</v>
      </c>
      <c r="N2" s="7">
        <f t="shared" ref="N2:O4" si="2">J2*(100-L2)/100</f>
        <v>665.80635999999981</v>
      </c>
      <c r="O2" s="8">
        <f t="shared" si="2"/>
        <v>525.73734375000004</v>
      </c>
      <c r="P2" s="4">
        <f>10*12</f>
        <v>120</v>
      </c>
      <c r="Q2" s="5">
        <f>P2*(100-9.15)/100</f>
        <v>109.02</v>
      </c>
      <c r="R2" s="5">
        <f>Q2*(100-M2)/100</f>
        <v>81.765000000000001</v>
      </c>
      <c r="S2" s="10">
        <f>N2+O2+R2</f>
        <v>1273.3087037499999</v>
      </c>
      <c r="T2" s="14">
        <f>IF(Foglio1!$G$7=0,'KA06'!J2,0)</f>
        <v>876.06099999999981</v>
      </c>
      <c r="U2" s="14">
        <f>IF(Foglio1!$G$7=0,'KA06'!K2,0)</f>
        <v>700.98312499999997</v>
      </c>
    </row>
    <row r="3" spans="1:30" x14ac:dyDescent="0.25">
      <c r="A3">
        <v>9</v>
      </c>
      <c r="B3" s="2">
        <v>17.3</v>
      </c>
      <c r="C3" s="2">
        <v>31.9</v>
      </c>
      <c r="D3" s="2">
        <v>70</v>
      </c>
      <c r="E3" s="4">
        <f>D3</f>
        <v>70</v>
      </c>
      <c r="F3" s="2">
        <f>(B3+C3+D3)*13-7.82*3-13.03*33</f>
        <v>1096.1500000000001</v>
      </c>
      <c r="G3" s="4">
        <f>E3*13-13.03*13</f>
        <v>740.61</v>
      </c>
      <c r="H3" s="2">
        <f t="shared" si="0"/>
        <v>122.22072500000002</v>
      </c>
      <c r="I3" s="5">
        <f t="shared" si="0"/>
        <v>82.578015000000008</v>
      </c>
      <c r="J3" s="6">
        <f t="shared" si="1"/>
        <v>973.92927500000008</v>
      </c>
      <c r="K3" s="5">
        <f t="shared" ref="K3:K7" si="3">G3-I3+Q3</f>
        <v>767.05198499999995</v>
      </c>
      <c r="L3" s="1">
        <v>24</v>
      </c>
      <c r="M3" s="3">
        <v>25</v>
      </c>
      <c r="N3" s="7">
        <f t="shared" si="2"/>
        <v>740.18624900000009</v>
      </c>
      <c r="O3" s="8">
        <f t="shared" si="2"/>
        <v>575.28898875000004</v>
      </c>
      <c r="P3" s="4">
        <f>10*12</f>
        <v>120</v>
      </c>
      <c r="Q3" s="5">
        <f>P3*(100-9.15)/100</f>
        <v>109.02</v>
      </c>
      <c r="R3" s="5">
        <f>Q3*(100-M3)/100</f>
        <v>81.765000000000001</v>
      </c>
      <c r="S3" s="10">
        <f>N3+O3+R3</f>
        <v>1397.2402377500002</v>
      </c>
      <c r="T3" s="14">
        <f>IF(Foglio1!$G$7=9,'KA06'!J3,0)</f>
        <v>0</v>
      </c>
      <c r="U3" s="14">
        <f>IF(Foglio1!$G$7=9,'KA06'!K3,0)</f>
        <v>0</v>
      </c>
    </row>
    <row r="4" spans="1:30" x14ac:dyDescent="0.25">
      <c r="A4">
        <v>15</v>
      </c>
      <c r="B4" s="2">
        <v>18.8</v>
      </c>
      <c r="C4" s="2">
        <v>34.6</v>
      </c>
      <c r="D4" s="2">
        <v>77</v>
      </c>
      <c r="E4" s="4">
        <f>D4</f>
        <v>77</v>
      </c>
      <c r="F4" s="2">
        <f>(B4+C4+D4)*13-8.5*3-14.16*33</f>
        <v>1202.42</v>
      </c>
      <c r="G4" s="4">
        <f>E4*13-14.61*13</f>
        <v>811.06999999999994</v>
      </c>
      <c r="H4" s="2">
        <f t="shared" si="0"/>
        <v>134.06983000000002</v>
      </c>
      <c r="I4" s="5">
        <f t="shared" si="0"/>
        <v>90.434304999999995</v>
      </c>
      <c r="J4" s="6">
        <f t="shared" si="1"/>
        <v>1068.3501700000002</v>
      </c>
      <c r="K4" s="5">
        <f t="shared" si="3"/>
        <v>851.4596949999999</v>
      </c>
      <c r="L4" s="1">
        <v>24</v>
      </c>
      <c r="M4" s="3">
        <v>25</v>
      </c>
      <c r="N4" s="7">
        <f t="shared" si="2"/>
        <v>811.94612920000009</v>
      </c>
      <c r="O4" s="8">
        <f t="shared" si="2"/>
        <v>638.59477124999989</v>
      </c>
      <c r="P4" s="4">
        <f>12*12</f>
        <v>144</v>
      </c>
      <c r="Q4" s="5">
        <f>P4*(100-9.15)/100</f>
        <v>130.82399999999998</v>
      </c>
      <c r="R4" s="5">
        <f>Q4*(100-M4)/100</f>
        <v>98.117999999999995</v>
      </c>
      <c r="S4" s="10">
        <f>N4+O4+R4</f>
        <v>1548.6589004499999</v>
      </c>
      <c r="T4" s="14">
        <f>IF(Foglio1!$G$7=15,'KA06'!J4,0)</f>
        <v>0</v>
      </c>
      <c r="U4" s="14">
        <f>IF(Foglio1!$G$7=15,'KA06'!K4,0)</f>
        <v>0</v>
      </c>
    </row>
    <row r="5" spans="1:30" x14ac:dyDescent="0.25">
      <c r="A5">
        <v>21</v>
      </c>
      <c r="B5" s="2">
        <v>21</v>
      </c>
      <c r="C5" s="2">
        <v>38.6</v>
      </c>
      <c r="D5" s="2">
        <v>86</v>
      </c>
      <c r="E5" s="4">
        <f t="shared" ref="E5:E7" si="4">D5</f>
        <v>86</v>
      </c>
      <c r="F5" s="2">
        <f>(B5+C5+D5)*13-9.48*3-15.81*33</f>
        <v>1342.6299999999999</v>
      </c>
      <c r="G5" s="4">
        <f>E5*13-16.03*13</f>
        <v>909.61</v>
      </c>
      <c r="H5" s="2">
        <f t="shared" ref="H5:H7" si="5">F5*11.15%</f>
        <v>149.70324499999998</v>
      </c>
      <c r="I5" s="5">
        <f t="shared" ref="I5:I7" si="6">G5*11.15%</f>
        <v>101.421515</v>
      </c>
      <c r="J5" s="6">
        <f t="shared" ref="J5:J7" si="7">F5-H5</f>
        <v>1192.926755</v>
      </c>
      <c r="K5" s="5">
        <f t="shared" si="3"/>
        <v>939.01248499999997</v>
      </c>
      <c r="L5" s="1">
        <v>24</v>
      </c>
      <c r="M5" s="3">
        <v>25</v>
      </c>
      <c r="N5" s="7">
        <f t="shared" ref="N5:N7" si="8">J5*(100-L5)/100</f>
        <v>906.62433380000004</v>
      </c>
      <c r="O5" s="8">
        <f t="shared" ref="O5:O7" si="9">K5*(100-M5)/100</f>
        <v>704.25936375000003</v>
      </c>
      <c r="P5" s="4">
        <f t="shared" ref="P5" si="10">12*12</f>
        <v>144</v>
      </c>
      <c r="Q5" s="5">
        <f t="shared" ref="Q5:Q7" si="11">P5*(100-9.15)/100</f>
        <v>130.82399999999998</v>
      </c>
      <c r="R5" s="5">
        <f t="shared" ref="R5:R7" si="12">Q5*(100-M5)/100</f>
        <v>98.117999999999995</v>
      </c>
      <c r="S5" s="10">
        <f t="shared" ref="S5:S7" si="13">N5+O5+R5</f>
        <v>1709.00169755</v>
      </c>
      <c r="T5" s="14">
        <f>IF(Foglio1!$G$7=21,'KA06'!J5,0)</f>
        <v>0</v>
      </c>
      <c r="U5" s="14">
        <f>IF(Foglio1!$G$7=21,'KA06'!K5,0)</f>
        <v>0</v>
      </c>
    </row>
    <row r="6" spans="1:30" x14ac:dyDescent="0.25">
      <c r="A6">
        <v>28</v>
      </c>
      <c r="B6" s="2">
        <v>22.4</v>
      </c>
      <c r="C6" s="2">
        <v>41.3</v>
      </c>
      <c r="D6" s="2">
        <v>91</v>
      </c>
      <c r="E6" s="4">
        <f t="shared" si="4"/>
        <v>91</v>
      </c>
      <c r="F6" s="2">
        <f>(B6+C6+D6)*13-10.13*3-16.88*33</f>
        <v>1423.6699999999998</v>
      </c>
      <c r="G6" s="4">
        <f>E6*13-19.02*13</f>
        <v>935.74</v>
      </c>
      <c r="H6" s="2">
        <f t="shared" si="5"/>
        <v>158.739205</v>
      </c>
      <c r="I6" s="5">
        <f t="shared" si="6"/>
        <v>104.33501</v>
      </c>
      <c r="J6" s="6">
        <f t="shared" si="7"/>
        <v>1264.9307949999998</v>
      </c>
      <c r="K6" s="5">
        <f t="shared" si="3"/>
        <v>994.93498999999997</v>
      </c>
      <c r="L6" s="1">
        <v>25.18</v>
      </c>
      <c r="M6" s="3">
        <v>35</v>
      </c>
      <c r="N6" s="7">
        <f t="shared" si="8"/>
        <v>946.4212208189997</v>
      </c>
      <c r="O6" s="8">
        <f t="shared" si="9"/>
        <v>646.70774349999999</v>
      </c>
      <c r="P6" s="4">
        <f>15*12</f>
        <v>180</v>
      </c>
      <c r="Q6" s="5">
        <f t="shared" si="11"/>
        <v>163.52999999999997</v>
      </c>
      <c r="R6" s="5">
        <f t="shared" si="12"/>
        <v>106.29449999999999</v>
      </c>
      <c r="S6" s="10">
        <f t="shared" si="13"/>
        <v>1699.4234643189998</v>
      </c>
      <c r="T6" s="14">
        <f>IF(Foglio1!$G$7=28,'KA06'!J6,0)</f>
        <v>0</v>
      </c>
      <c r="U6" s="14">
        <f>IF(Foglio1!$G$7=28,'KA06'!K6,0)</f>
        <v>0</v>
      </c>
    </row>
    <row r="7" spans="1:30" x14ac:dyDescent="0.25">
      <c r="A7">
        <v>35</v>
      </c>
      <c r="B7" s="2">
        <v>23.5</v>
      </c>
      <c r="C7" s="2">
        <v>43.3</v>
      </c>
      <c r="D7" s="2">
        <v>96</v>
      </c>
      <c r="E7" s="4">
        <f t="shared" si="4"/>
        <v>96</v>
      </c>
      <c r="F7" s="2">
        <f>(B7+C7+D7)*13-10.62*3-17.7*33</f>
        <v>1500.44</v>
      </c>
      <c r="G7" s="4">
        <f>E7*13-19.96*13</f>
        <v>988.52</v>
      </c>
      <c r="H7" s="2">
        <f t="shared" si="5"/>
        <v>167.29906</v>
      </c>
      <c r="I7" s="5">
        <f t="shared" si="6"/>
        <v>110.21998000000001</v>
      </c>
      <c r="J7" s="6">
        <f t="shared" si="7"/>
        <v>1333.14094</v>
      </c>
      <c r="K7" s="5">
        <f t="shared" si="3"/>
        <v>1041.8300199999999</v>
      </c>
      <c r="L7" s="1">
        <v>25.18</v>
      </c>
      <c r="M7" s="3">
        <v>35</v>
      </c>
      <c r="N7" s="7">
        <f t="shared" si="8"/>
        <v>997.45605130799993</v>
      </c>
      <c r="O7" s="8">
        <f t="shared" si="9"/>
        <v>677.18951299999981</v>
      </c>
      <c r="P7" s="4">
        <f>15*12</f>
        <v>180</v>
      </c>
      <c r="Q7" s="5">
        <f t="shared" si="11"/>
        <v>163.52999999999997</v>
      </c>
      <c r="R7" s="5">
        <f t="shared" si="12"/>
        <v>106.29449999999999</v>
      </c>
      <c r="S7" s="10">
        <f t="shared" si="13"/>
        <v>1780.9400643079998</v>
      </c>
      <c r="T7" s="14">
        <f>IF(Foglio1!$G$7=35,'KA06'!J7,0)</f>
        <v>0</v>
      </c>
      <c r="U7" s="14">
        <f>IF(Foglio1!$G$7=35,'KA06'!K7,0)</f>
        <v>0</v>
      </c>
    </row>
    <row r="8" spans="1:30" x14ac:dyDescent="0.25">
      <c r="T8" s="12">
        <f>SUM(T2:T7)</f>
        <v>876.06099999999981</v>
      </c>
      <c r="U8" s="12">
        <f>SUM(U2:U7)</f>
        <v>700.98312499999997</v>
      </c>
    </row>
    <row r="13" spans="1:30" x14ac:dyDescent="0.25">
      <c r="U13" s="1">
        <v>2019</v>
      </c>
      <c r="V13" s="3" t="s">
        <v>6</v>
      </c>
      <c r="W13" s="1">
        <v>2020</v>
      </c>
      <c r="X13" s="3" t="s">
        <v>6</v>
      </c>
      <c r="Y13" s="1">
        <v>2021</v>
      </c>
      <c r="Z13" s="3" t="s">
        <v>6</v>
      </c>
      <c r="AA13" s="3">
        <v>2022</v>
      </c>
      <c r="AB13" s="3" t="s">
        <v>6</v>
      </c>
      <c r="AC13" s="3" t="s">
        <v>57</v>
      </c>
      <c r="AD13" s="3" t="s">
        <v>6</v>
      </c>
    </row>
    <row r="14" spans="1:30" x14ac:dyDescent="0.25">
      <c r="U14" s="2">
        <f>(B2)*13-7.05*3-11.75*7</f>
        <v>99.399999999999977</v>
      </c>
      <c r="V14" s="14">
        <f>IF(Foglio1!$G$7=0,'KA06'!U14,0)</f>
        <v>99.399999999999977</v>
      </c>
      <c r="W14" s="2">
        <f>(C2)*13-7.05*3-11.75*13</f>
        <v>199.2</v>
      </c>
      <c r="X14" s="14">
        <f>IF(Foglio1!$G$7=0,'KA06'!W14,0)</f>
        <v>199.2</v>
      </c>
      <c r="Y14" s="2">
        <f>D2*13-11.75*13</f>
        <v>666.25</v>
      </c>
      <c r="Z14" s="14">
        <f>IF(Foglio1!$G$7=0,'KA06'!Y14,0)</f>
        <v>666.25</v>
      </c>
      <c r="AA14" s="4">
        <f>G2+P2</f>
        <v>786.25</v>
      </c>
      <c r="AB14" s="14">
        <f>IF(Foglio1!$G$7=0,'KA06'!AA14,0)</f>
        <v>786.25</v>
      </c>
      <c r="AC14" s="12">
        <f>K2</f>
        <v>700.98312499999997</v>
      </c>
      <c r="AD14" s="14">
        <f>IF(Foglio1!$G$7=0,'KA06'!AC14,0)</f>
        <v>700.98312499999997</v>
      </c>
    </row>
    <row r="15" spans="1:30" x14ac:dyDescent="0.25">
      <c r="U15" s="2">
        <f>(B3)*13-7.82*3-13.03*7</f>
        <v>110.23</v>
      </c>
      <c r="V15" s="14">
        <f>IF(Foglio1!$G$7=9,'KA06'!U15,0)</f>
        <v>0</v>
      </c>
      <c r="W15" s="2">
        <f>(C3)*13-7.82*3-13.03*13</f>
        <v>221.85000000000002</v>
      </c>
      <c r="X15" s="14">
        <f>IF(Foglio1!$G$7=9,'KA06'!W15,0)</f>
        <v>0</v>
      </c>
      <c r="Y15" s="2">
        <f>D3*13-13.03*13</f>
        <v>740.61</v>
      </c>
      <c r="Z15" s="14">
        <f>IF(Foglio1!$G$7=9,'KA06'!Y15,0)</f>
        <v>0</v>
      </c>
      <c r="AA15" s="4">
        <f t="shared" ref="AA15:AA19" si="14">G3+P3</f>
        <v>860.61</v>
      </c>
      <c r="AB15" s="14">
        <f>IF(Foglio1!$G$7=9,'KA06'!AA15,0)</f>
        <v>0</v>
      </c>
      <c r="AC15" s="12">
        <f t="shared" ref="AC15:AC19" si="15">K3</f>
        <v>767.05198499999995</v>
      </c>
      <c r="AD15" s="14">
        <f>IF(Foglio1!$G$7=9,'KA06'!AC15,0)</f>
        <v>0</v>
      </c>
    </row>
    <row r="16" spans="1:30" x14ac:dyDescent="0.25">
      <c r="U16" s="2">
        <f>(B4)*13-8.5*3-14.16*7</f>
        <v>119.78</v>
      </c>
      <c r="V16" s="14">
        <f>IF(Foglio1!$G$7=15,'KA06'!U16,0)</f>
        <v>0</v>
      </c>
      <c r="W16" s="2">
        <f>(C4)*13-8.5*3-14.16*13</f>
        <v>240.22</v>
      </c>
      <c r="X16" s="14">
        <f>IF(Foglio1!$G$7=15,'KA06'!W16,0)</f>
        <v>0</v>
      </c>
      <c r="Y16" s="2">
        <f>D4*13-14.16*13</f>
        <v>816.92</v>
      </c>
      <c r="Z16" s="14">
        <f>IF(Foglio1!$G$7=15,'KA06'!Y16,0)</f>
        <v>0</v>
      </c>
      <c r="AA16" s="4">
        <f t="shared" si="14"/>
        <v>955.06999999999994</v>
      </c>
      <c r="AB16" s="14">
        <f>IF(Foglio1!$G$7=15,'KA06'!AA16,0)</f>
        <v>0</v>
      </c>
      <c r="AC16" s="12">
        <f t="shared" si="15"/>
        <v>851.4596949999999</v>
      </c>
      <c r="AD16" s="14">
        <f>IF(Foglio1!$G$7=15,'KA06'!AC16,0)</f>
        <v>0</v>
      </c>
    </row>
    <row r="17" spans="9:30" x14ac:dyDescent="0.25">
      <c r="U17" s="2">
        <f>(B5)*13-9.48*3-15.81*7</f>
        <v>133.88999999999999</v>
      </c>
      <c r="V17" s="14">
        <f>IF(Foglio1!$G$7=21,'KA06'!U17,0)</f>
        <v>0</v>
      </c>
      <c r="W17" s="2">
        <f>(C5)*13-9.48*3-15.81*13</f>
        <v>267.83000000000004</v>
      </c>
      <c r="X17" s="14">
        <f>IF(Foglio1!$G$7=21,'KA06'!W17,0)</f>
        <v>0</v>
      </c>
      <c r="Y17" s="2">
        <f>D5*13-15.81*13</f>
        <v>912.47</v>
      </c>
      <c r="Z17" s="14">
        <f>IF(Foglio1!$G$7=21,'KA06'!Y17,0)</f>
        <v>0</v>
      </c>
      <c r="AA17" s="4">
        <f t="shared" si="14"/>
        <v>1053.6100000000001</v>
      </c>
      <c r="AB17" s="14">
        <f>IF(Foglio1!$G$7=21,'KA06'!AA17,0)</f>
        <v>0</v>
      </c>
      <c r="AC17" s="12">
        <f t="shared" si="15"/>
        <v>939.01248499999997</v>
      </c>
      <c r="AD17" s="14">
        <f>IF(Foglio1!$G$7=21,'KA06'!AC17,0)</f>
        <v>0</v>
      </c>
    </row>
    <row r="18" spans="9:30" x14ac:dyDescent="0.25">
      <c r="U18" s="2">
        <f>(B6)*13-10.13*3-16.88*7</f>
        <v>142.65</v>
      </c>
      <c r="V18" s="14">
        <f>IF(Foglio1!$G$7=28,'KA06'!U18,0)</f>
        <v>0</v>
      </c>
      <c r="W18" s="2">
        <f>(C6)*13-10.13*3-16.88*13</f>
        <v>287.07</v>
      </c>
      <c r="X18" s="14">
        <f>IF(Foglio1!$G$7=28,'KA06'!W18,0)</f>
        <v>0</v>
      </c>
      <c r="Y18" s="2">
        <f>D6*13-16.88*13</f>
        <v>963.56</v>
      </c>
      <c r="Z18" s="14">
        <f>IF(Foglio1!$G$7=28,'KA06'!Y18,0)</f>
        <v>0</v>
      </c>
      <c r="AA18" s="4">
        <f t="shared" si="14"/>
        <v>1115.74</v>
      </c>
      <c r="AB18" s="14">
        <f>IF(Foglio1!$G$7=28,'KA06'!AA18,0)</f>
        <v>0</v>
      </c>
      <c r="AC18" s="12">
        <f t="shared" si="15"/>
        <v>994.93498999999997</v>
      </c>
      <c r="AD18" s="14">
        <f>IF(Foglio1!$G$7=28,'KA06'!AC18,0)</f>
        <v>0</v>
      </c>
    </row>
    <row r="19" spans="9:30" x14ac:dyDescent="0.25">
      <c r="U19" s="2">
        <f>(B7)*13-10.62*3-17.7*7</f>
        <v>149.74</v>
      </c>
      <c r="V19" s="14">
        <f>IF(Foglio1!$G$7=35,'KA06'!U19,0)</f>
        <v>0</v>
      </c>
      <c r="W19" s="2">
        <f>(C7)*13-10.62*3-17.7*13</f>
        <v>300.93999999999994</v>
      </c>
      <c r="X19" s="14">
        <f>IF(Foglio1!$G$7=35,'KA06'!W19,0)</f>
        <v>0</v>
      </c>
      <c r="Y19" s="2">
        <f>D7*13-17.7*13</f>
        <v>1017.9</v>
      </c>
      <c r="Z19" s="14">
        <f>IF(Foglio1!$G$7=35,'KA06'!Y19,0)</f>
        <v>0</v>
      </c>
      <c r="AA19" s="4">
        <f t="shared" si="14"/>
        <v>1168.52</v>
      </c>
      <c r="AB19" s="14">
        <f>IF(Foglio1!$G$7=35,'KA06'!AA19,0)</f>
        <v>0</v>
      </c>
      <c r="AC19" s="12">
        <f t="shared" si="15"/>
        <v>1041.8300199999999</v>
      </c>
      <c r="AD19" s="14">
        <f>IF(Foglio1!$G$7=35,'KA06'!AC19,0)</f>
        <v>0</v>
      </c>
    </row>
    <row r="20" spans="9:30" x14ac:dyDescent="0.25">
      <c r="V20" s="12">
        <f>SUM(V14:V19)</f>
        <v>99.399999999999977</v>
      </c>
      <c r="X20" s="12">
        <f>SUM(X14:X19)</f>
        <v>199.2</v>
      </c>
      <c r="Z20" s="12">
        <f>SUM(Z14:Z19)</f>
        <v>666.25</v>
      </c>
      <c r="AB20" s="12">
        <f>SUM(AB14:AB19)</f>
        <v>786.25</v>
      </c>
      <c r="AD20" s="12">
        <f>SUM(AD14:AD19)</f>
        <v>700.98312499999997</v>
      </c>
    </row>
    <row r="23" spans="9:30" ht="15" customHeight="1" x14ac:dyDescent="0.25">
      <c r="I23" s="50" t="s">
        <v>49</v>
      </c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</row>
    <row r="24" spans="9:30" ht="15" customHeight="1" x14ac:dyDescent="0.25"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6" spans="9:30" x14ac:dyDescent="0.25">
      <c r="I26">
        <f>IF(Foglio1!A5='KA06'!I23,1,0)</f>
        <v>0</v>
      </c>
      <c r="J26" s="12">
        <f>T8*I26</f>
        <v>0</v>
      </c>
      <c r="K26" s="12">
        <f>U8*I26</f>
        <v>0</v>
      </c>
      <c r="V26" s="12">
        <f>V20*I26</f>
        <v>0</v>
      </c>
      <c r="X26" s="12">
        <f>X20*I26</f>
        <v>0</v>
      </c>
      <c r="Z26" s="12">
        <f>Z20*I26</f>
        <v>0</v>
      </c>
      <c r="AB26" s="12">
        <f>AB20*I26</f>
        <v>0</v>
      </c>
      <c r="AD26" s="12">
        <f>AD20*I26</f>
        <v>0</v>
      </c>
    </row>
  </sheetData>
  <mergeCells count="1">
    <mergeCell ref="I23:X24"/>
  </mergeCells>
  <dataValidations count="1">
    <dataValidation type="list" allowBlank="1" showInputMessage="1" showErrorMessage="1" sqref="I23:X24" xr:uid="{47AF23B1-6D9F-4B8C-B8ED-8CAC81098344}">
      <formula1>$Z$2:$Z$9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CA3AE-35FA-4058-8BDB-05A47F73671C}">
  <dimension ref="A1:AD26"/>
  <sheetViews>
    <sheetView workbookViewId="0">
      <selection activeCell="AA14" sqref="AA14"/>
    </sheetView>
  </sheetViews>
  <sheetFormatPr defaultRowHeight="15" x14ac:dyDescent="0.25"/>
  <cols>
    <col min="5" max="5" width="9.42578125" bestFit="1" customWidth="1"/>
    <col min="6" max="6" width="12" bestFit="1" customWidth="1"/>
    <col min="7" max="7" width="11" bestFit="1" customWidth="1"/>
    <col min="10" max="11" width="11" bestFit="1" customWidth="1"/>
    <col min="14" max="14" width="11" bestFit="1" customWidth="1"/>
    <col min="16" max="16" width="9.42578125" bestFit="1" customWidth="1"/>
    <col min="19" max="19" width="11.7109375" bestFit="1" customWidth="1"/>
    <col min="20" max="20" width="11" bestFit="1" customWidth="1"/>
    <col min="21" max="23" width="9.42578125" bestFit="1" customWidth="1"/>
    <col min="25" max="25" width="9.42578125" bestFit="1" customWidth="1"/>
    <col min="27" max="29" width="11" bestFit="1" customWidth="1"/>
  </cols>
  <sheetData>
    <row r="1" spans="1:30" x14ac:dyDescent="0.25">
      <c r="B1" s="1">
        <v>2019</v>
      </c>
      <c r="C1" s="1">
        <v>2020</v>
      </c>
      <c r="D1" s="1">
        <v>2021</v>
      </c>
      <c r="E1" s="3">
        <v>2022</v>
      </c>
      <c r="F1" s="1" t="s">
        <v>2</v>
      </c>
      <c r="G1" s="3" t="s">
        <v>1</v>
      </c>
      <c r="H1" s="1" t="s">
        <v>3</v>
      </c>
      <c r="I1" s="3" t="s">
        <v>3</v>
      </c>
      <c r="J1" s="1" t="s">
        <v>4</v>
      </c>
      <c r="K1" s="3" t="s">
        <v>4</v>
      </c>
      <c r="L1" s="1" t="s">
        <v>5</v>
      </c>
      <c r="M1" s="3" t="s">
        <v>6</v>
      </c>
      <c r="N1" s="1" t="s">
        <v>5</v>
      </c>
      <c r="O1" s="3" t="s">
        <v>6</v>
      </c>
      <c r="P1" s="3" t="s">
        <v>14</v>
      </c>
      <c r="Q1" s="3" t="s">
        <v>4</v>
      </c>
      <c r="R1" s="3" t="s">
        <v>8</v>
      </c>
      <c r="S1" s="9" t="s">
        <v>9</v>
      </c>
      <c r="T1" s="3" t="s">
        <v>27</v>
      </c>
      <c r="U1" s="3" t="s">
        <v>6</v>
      </c>
    </row>
    <row r="2" spans="1:30" x14ac:dyDescent="0.25">
      <c r="A2" t="s">
        <v>15</v>
      </c>
      <c r="B2" s="2">
        <v>16.899999999999999</v>
      </c>
      <c r="C2" s="2">
        <v>31.1</v>
      </c>
      <c r="D2" s="2">
        <v>69</v>
      </c>
      <c r="E2" s="4">
        <f>D2</f>
        <v>69</v>
      </c>
      <c r="F2" s="2">
        <f>(B2+C2+D2)*13-7.65*3-12.75*33</f>
        <v>1077.3</v>
      </c>
      <c r="G2" s="4">
        <f>E2*13-12.75*13</f>
        <v>731.25</v>
      </c>
      <c r="H2" s="2">
        <f t="shared" ref="H2:I4" si="0">F2*11.15%</f>
        <v>120.11895</v>
      </c>
      <c r="I2" s="5">
        <f t="shared" si="0"/>
        <v>81.534374999999997</v>
      </c>
      <c r="J2" s="6">
        <f t="shared" ref="J2:J4" si="1">F2-H2</f>
        <v>957.18104999999991</v>
      </c>
      <c r="K2" s="5">
        <f>G2-I2+R2</f>
        <v>731.48062500000003</v>
      </c>
      <c r="L2" s="1">
        <v>24</v>
      </c>
      <c r="M2" s="3">
        <v>25</v>
      </c>
      <c r="N2" s="7">
        <f t="shared" ref="N2:O4" si="2">J2*(100-L2)/100</f>
        <v>727.45759799999996</v>
      </c>
      <c r="O2" s="8">
        <f t="shared" si="2"/>
        <v>548.61046875</v>
      </c>
      <c r="P2" s="4">
        <f>10*12</f>
        <v>120</v>
      </c>
      <c r="Q2" s="5">
        <f>P2*(100-9.15)/100</f>
        <v>109.02</v>
      </c>
      <c r="R2" s="5">
        <f>Q2*(100-M2)/100</f>
        <v>81.765000000000001</v>
      </c>
      <c r="S2" s="10">
        <f>N2+O2+R2</f>
        <v>1357.8330667500002</v>
      </c>
      <c r="T2" s="14">
        <f>IF(Foglio1!$G$7=0,'KA07'!J2,0)</f>
        <v>957.18104999999991</v>
      </c>
      <c r="U2" s="14">
        <f>IF(Foglio1!$G$7=0,'KA07'!K2,0)</f>
        <v>731.48062500000003</v>
      </c>
    </row>
    <row r="3" spans="1:30" x14ac:dyDescent="0.25">
      <c r="A3">
        <v>9</v>
      </c>
      <c r="B3" s="2">
        <v>18.899999999999999</v>
      </c>
      <c r="C3" s="2">
        <v>34.799999999999997</v>
      </c>
      <c r="D3" s="2">
        <v>77</v>
      </c>
      <c r="E3" s="4">
        <f>D3</f>
        <v>77</v>
      </c>
      <c r="F3" s="2">
        <f>(B3+C3+D3)*13-8.55*3-14.24*33</f>
        <v>1203.5299999999997</v>
      </c>
      <c r="G3" s="4">
        <f>E3*13-14.24*13</f>
        <v>815.88</v>
      </c>
      <c r="H3" s="2">
        <f t="shared" si="0"/>
        <v>134.19359499999999</v>
      </c>
      <c r="I3" s="5">
        <f t="shared" si="0"/>
        <v>90.970619999999997</v>
      </c>
      <c r="J3" s="6">
        <f t="shared" si="1"/>
        <v>1069.3364049999998</v>
      </c>
      <c r="K3" s="5">
        <f t="shared" ref="K3:K7" si="3">G3-I3+R3</f>
        <v>806.67438000000004</v>
      </c>
      <c r="L3" s="1">
        <v>24</v>
      </c>
      <c r="M3" s="3">
        <v>25</v>
      </c>
      <c r="N3" s="7">
        <f t="shared" si="2"/>
        <v>812.6956677999998</v>
      </c>
      <c r="O3" s="8">
        <f t="shared" si="2"/>
        <v>605.00578500000006</v>
      </c>
      <c r="P3" s="4">
        <f>10*12</f>
        <v>120</v>
      </c>
      <c r="Q3" s="5">
        <f>P3*(100-9.15)/100</f>
        <v>109.02</v>
      </c>
      <c r="R3" s="5">
        <f>Q3*(100-M3)/100</f>
        <v>81.765000000000001</v>
      </c>
      <c r="S3" s="10">
        <f>N3+O3+R3</f>
        <v>1499.4664528000001</v>
      </c>
      <c r="T3" s="14">
        <f>IF(Foglio1!$G$7=9,'KA07'!J3,0)</f>
        <v>0</v>
      </c>
      <c r="U3" s="14">
        <f>IF(Foglio1!$G$7=9,'KA07'!K3,0)</f>
        <v>0</v>
      </c>
    </row>
    <row r="4" spans="1:30" x14ac:dyDescent="0.25">
      <c r="A4">
        <v>15</v>
      </c>
      <c r="B4" s="2">
        <v>20.6</v>
      </c>
      <c r="C4" s="2">
        <v>38</v>
      </c>
      <c r="D4" s="2">
        <v>77</v>
      </c>
      <c r="E4" s="4">
        <v>84</v>
      </c>
      <c r="F4" s="2">
        <f>(B4+C4+D4)*13-9.33*3-15.56*33</f>
        <v>1221.33</v>
      </c>
      <c r="G4" s="4">
        <f>E4*13-15.56*13</f>
        <v>889.72</v>
      </c>
      <c r="H4" s="2">
        <f t="shared" si="0"/>
        <v>136.17829499999999</v>
      </c>
      <c r="I4" s="5">
        <f t="shared" si="0"/>
        <v>99.203780000000009</v>
      </c>
      <c r="J4" s="6">
        <f t="shared" si="1"/>
        <v>1085.151705</v>
      </c>
      <c r="K4" s="5">
        <f t="shared" si="3"/>
        <v>888.63421999999991</v>
      </c>
      <c r="L4" s="1">
        <v>24</v>
      </c>
      <c r="M4" s="3">
        <v>25</v>
      </c>
      <c r="N4" s="7">
        <f t="shared" si="2"/>
        <v>824.71529580000004</v>
      </c>
      <c r="O4" s="8">
        <f t="shared" si="2"/>
        <v>666.47566499999982</v>
      </c>
      <c r="P4" s="4">
        <f>12*12</f>
        <v>144</v>
      </c>
      <c r="Q4" s="5">
        <f>P4*(100-9.15)/100</f>
        <v>130.82399999999998</v>
      </c>
      <c r="R4" s="5">
        <f>Q4*(100-M4)/100</f>
        <v>98.117999999999995</v>
      </c>
      <c r="S4" s="10">
        <f>N4+O4+R4</f>
        <v>1589.3089607999998</v>
      </c>
      <c r="T4" s="14">
        <f>IF(Foglio1!$G$7=15,'KA07'!J4,0)</f>
        <v>0</v>
      </c>
      <c r="U4" s="14">
        <f>IF(Foglio1!$G$7=15,'KA07'!K4,0)</f>
        <v>0</v>
      </c>
    </row>
    <row r="5" spans="1:30" x14ac:dyDescent="0.25">
      <c r="A5">
        <v>21</v>
      </c>
      <c r="B5" s="2">
        <v>22.3</v>
      </c>
      <c r="C5" s="2">
        <v>41.1</v>
      </c>
      <c r="D5" s="2">
        <v>77</v>
      </c>
      <c r="E5" s="4">
        <v>91</v>
      </c>
      <c r="F5" s="2">
        <f>(B5+C5+D5)*13-10.1*3-16.83*33</f>
        <v>1239.5100000000002</v>
      </c>
      <c r="G5" s="4">
        <f>E5*13-16.83*13</f>
        <v>964.21</v>
      </c>
      <c r="H5" s="2">
        <f t="shared" ref="H5:H7" si="4">F5*11.15%</f>
        <v>138.20536500000003</v>
      </c>
      <c r="I5" s="5">
        <f t="shared" ref="I5:I7" si="5">G5*11.15%</f>
        <v>107.509415</v>
      </c>
      <c r="J5" s="6">
        <f t="shared" ref="J5:J7" si="6">F5-H5</f>
        <v>1101.3046350000002</v>
      </c>
      <c r="K5" s="5">
        <f t="shared" si="3"/>
        <v>954.81858499999998</v>
      </c>
      <c r="L5" s="1">
        <v>24.5</v>
      </c>
      <c r="M5" s="3">
        <v>25</v>
      </c>
      <c r="N5" s="7">
        <f t="shared" ref="N5:N7" si="7">J5*(100-L5)/100</f>
        <v>831.48499942500018</v>
      </c>
      <c r="O5" s="8">
        <f t="shared" ref="O5:O7" si="8">K5*(100-M5)/100</f>
        <v>716.11393874999999</v>
      </c>
      <c r="P5" s="4">
        <f t="shared" ref="P5" si="9">12*12</f>
        <v>144</v>
      </c>
      <c r="Q5" s="5">
        <f t="shared" ref="Q5:Q7" si="10">P5*(100-9.15)/100</f>
        <v>130.82399999999998</v>
      </c>
      <c r="R5" s="5">
        <f t="shared" ref="R5:R7" si="11">Q5*(100-M5)/100</f>
        <v>98.117999999999995</v>
      </c>
      <c r="S5" s="10">
        <f t="shared" ref="S5:S7" si="12">N5+O5+R5</f>
        <v>1645.716938175</v>
      </c>
      <c r="T5" s="14">
        <f>IF(Foglio1!$G$7=21,'KA07'!J5,0)</f>
        <v>0</v>
      </c>
      <c r="U5" s="14">
        <f>IF(Foglio1!$G$7=21,'KA07'!K5,0)</f>
        <v>0</v>
      </c>
    </row>
    <row r="6" spans="1:30" x14ac:dyDescent="0.25">
      <c r="A6">
        <v>28</v>
      </c>
      <c r="B6" s="2">
        <v>24</v>
      </c>
      <c r="C6" s="2">
        <v>44.2</v>
      </c>
      <c r="D6" s="2">
        <v>77</v>
      </c>
      <c r="E6" s="4">
        <v>98</v>
      </c>
      <c r="F6" s="2">
        <f>(B6+C6+D6)*13-10.85*3-18.09*33</f>
        <v>1258.08</v>
      </c>
      <c r="G6" s="4">
        <f>E6*13-18.09*13</f>
        <v>1038.83</v>
      </c>
      <c r="H6" s="2">
        <f t="shared" si="4"/>
        <v>140.27591999999999</v>
      </c>
      <c r="I6" s="5">
        <f t="shared" si="5"/>
        <v>115.829545</v>
      </c>
      <c r="J6" s="6">
        <f t="shared" si="6"/>
        <v>1117.8040799999999</v>
      </c>
      <c r="K6" s="5">
        <f t="shared" si="3"/>
        <v>1029.2949549999998</v>
      </c>
      <c r="L6" s="1">
        <v>25.18</v>
      </c>
      <c r="M6" s="3">
        <v>35</v>
      </c>
      <c r="N6" s="7">
        <f t="shared" si="7"/>
        <v>836.34101265599975</v>
      </c>
      <c r="O6" s="8">
        <f t="shared" si="8"/>
        <v>669.04172074999997</v>
      </c>
      <c r="P6" s="4">
        <f>15*12</f>
        <v>180</v>
      </c>
      <c r="Q6" s="5">
        <f t="shared" si="10"/>
        <v>163.52999999999997</v>
      </c>
      <c r="R6" s="5">
        <f t="shared" si="11"/>
        <v>106.29449999999999</v>
      </c>
      <c r="S6" s="10">
        <f t="shared" si="12"/>
        <v>1611.6772334059997</v>
      </c>
      <c r="T6" s="14">
        <f>IF(Foglio1!$G$7=28,'KA07'!J6,0)</f>
        <v>0</v>
      </c>
      <c r="U6" s="14">
        <f>IF(Foglio1!$G$7=28,'KA07'!K6,0)</f>
        <v>0</v>
      </c>
    </row>
    <row r="7" spans="1:30" x14ac:dyDescent="0.25">
      <c r="A7">
        <v>35</v>
      </c>
      <c r="B7" s="2">
        <v>25.2</v>
      </c>
      <c r="C7" s="2">
        <v>46.5</v>
      </c>
      <c r="D7" s="2">
        <v>77</v>
      </c>
      <c r="E7" s="4">
        <v>103</v>
      </c>
      <c r="F7" s="2">
        <f>(B7+C7+D7)*13-11.41*3-19.02*33</f>
        <v>1271.21</v>
      </c>
      <c r="G7" s="4">
        <f>E7*13-19.02*13</f>
        <v>1091.74</v>
      </c>
      <c r="H7" s="2">
        <f t="shared" si="4"/>
        <v>141.739915</v>
      </c>
      <c r="I7" s="5">
        <f t="shared" si="5"/>
        <v>121.72901</v>
      </c>
      <c r="J7" s="6">
        <f t="shared" si="6"/>
        <v>1129.4700849999999</v>
      </c>
      <c r="K7" s="5">
        <f t="shared" si="3"/>
        <v>1076.30549</v>
      </c>
      <c r="L7" s="1">
        <v>25.18</v>
      </c>
      <c r="M7" s="3">
        <v>35</v>
      </c>
      <c r="N7" s="7">
        <f t="shared" si="7"/>
        <v>845.06951759699996</v>
      </c>
      <c r="O7" s="8">
        <f t="shared" si="8"/>
        <v>699.59856849999994</v>
      </c>
      <c r="P7" s="4">
        <f>15*12</f>
        <v>180</v>
      </c>
      <c r="Q7" s="5">
        <f t="shared" si="10"/>
        <v>163.52999999999997</v>
      </c>
      <c r="R7" s="5">
        <f t="shared" si="11"/>
        <v>106.29449999999999</v>
      </c>
      <c r="S7" s="10">
        <f t="shared" si="12"/>
        <v>1650.962586097</v>
      </c>
      <c r="T7" s="14">
        <f>IF(Foglio1!$G$7=35,'KA07'!J7,0)</f>
        <v>0</v>
      </c>
      <c r="U7" s="14">
        <f>IF(Foglio1!$G$7=35,'KA07'!K7,0)</f>
        <v>0</v>
      </c>
    </row>
    <row r="8" spans="1:30" x14ac:dyDescent="0.25">
      <c r="T8" s="12">
        <f>SUM(T2:T7)</f>
        <v>957.18104999999991</v>
      </c>
      <c r="U8" s="12">
        <f>SUM(U2:U7)</f>
        <v>731.48062500000003</v>
      </c>
    </row>
    <row r="13" spans="1:30" x14ac:dyDescent="0.25">
      <c r="U13" s="1">
        <v>2019</v>
      </c>
      <c r="V13" s="3" t="s">
        <v>27</v>
      </c>
      <c r="W13" s="1" t="s">
        <v>2</v>
      </c>
      <c r="X13" s="3" t="s">
        <v>27</v>
      </c>
      <c r="Y13" s="1" t="s">
        <v>2</v>
      </c>
      <c r="Z13" s="3" t="s">
        <v>27</v>
      </c>
      <c r="AA13" s="3">
        <v>2022</v>
      </c>
      <c r="AB13" s="3" t="s">
        <v>27</v>
      </c>
      <c r="AC13" s="3" t="s">
        <v>57</v>
      </c>
      <c r="AD13" s="3" t="s">
        <v>27</v>
      </c>
    </row>
    <row r="14" spans="1:30" x14ac:dyDescent="0.25">
      <c r="U14" s="2">
        <f>(B2)*13-7.65*3-12.75*7</f>
        <v>107.5</v>
      </c>
      <c r="V14" s="14">
        <f>IF(Foglio1!$G$7=0,'KA07'!U14,0)</f>
        <v>107.5</v>
      </c>
      <c r="W14" s="2">
        <f>(C2)*13-12.75*13</f>
        <v>238.55</v>
      </c>
      <c r="X14" s="14">
        <f>IF(Foglio1!$G$7=0,'KA07'!W14,0)</f>
        <v>238.55</v>
      </c>
      <c r="Y14" s="2">
        <f>(D2)*13-12.75*13</f>
        <v>731.25</v>
      </c>
      <c r="Z14" s="14">
        <f>IF(Foglio1!$G$7=0,'KA07'!Y14,0)</f>
        <v>731.25</v>
      </c>
      <c r="AA14" s="4">
        <f>G2+P2</f>
        <v>851.25</v>
      </c>
      <c r="AB14" s="14">
        <f>IF(Foglio1!$G$7=0,'KA07'!AA14,0)</f>
        <v>851.25</v>
      </c>
      <c r="AC14" s="12">
        <f>K2</f>
        <v>731.48062500000003</v>
      </c>
      <c r="AD14" s="14">
        <f>IF(Foglio1!$G$7=0,'KA07'!AC14,0)</f>
        <v>731.48062500000003</v>
      </c>
    </row>
    <row r="15" spans="1:30" x14ac:dyDescent="0.25">
      <c r="U15" s="2">
        <f>(B3)*13-8.55*3-14.24*7</f>
        <v>120.36999999999998</v>
      </c>
      <c r="V15" s="14">
        <f>IF(Foglio1!$G$7=9,'KA07'!U15,0)</f>
        <v>0</v>
      </c>
      <c r="W15" s="2">
        <f>(C3)*13-14.24*13</f>
        <v>267.27999999999997</v>
      </c>
      <c r="X15" s="14">
        <f>IF(Foglio1!$G$7=9,'KA07'!W15,0)</f>
        <v>0</v>
      </c>
      <c r="Y15" s="2">
        <f>(D3)*13-14.24*13</f>
        <v>815.88</v>
      </c>
      <c r="Z15" s="14">
        <f>IF(Foglio1!$G$7=9,'KA07'!Y15,0)</f>
        <v>0</v>
      </c>
      <c r="AA15" s="4">
        <f t="shared" ref="AA15:AA19" si="13">G3+P3</f>
        <v>935.88</v>
      </c>
      <c r="AB15" s="14">
        <f>IF(Foglio1!$G$7=9,'KA07'!AA15,0)</f>
        <v>0</v>
      </c>
      <c r="AC15" s="12">
        <f t="shared" ref="AC15:AC19" si="14">K3</f>
        <v>806.67438000000004</v>
      </c>
      <c r="AD15" s="14">
        <f>IF(Foglio1!$G$7=9,'KA07'!AC15,0)</f>
        <v>0</v>
      </c>
    </row>
    <row r="16" spans="1:30" x14ac:dyDescent="0.25">
      <c r="U16" s="2">
        <f>(B4)*13-9.33*3-15.56*7</f>
        <v>130.88999999999999</v>
      </c>
      <c r="V16" s="14">
        <f>IF(Foglio1!$G$7=15,'KA07'!U16,0)</f>
        <v>0</v>
      </c>
      <c r="W16" s="2">
        <f>(C4)*13-15.56*13</f>
        <v>291.72000000000003</v>
      </c>
      <c r="X16" s="14">
        <f>IF(Foglio1!$G$7=15,'KA07'!W16,0)</f>
        <v>0</v>
      </c>
      <c r="Y16" s="2">
        <f>(D4)*13-15.56*13</f>
        <v>798.72</v>
      </c>
      <c r="Z16" s="14">
        <f>IF(Foglio1!$G$7=15,'KA07'!Y16,0)</f>
        <v>0</v>
      </c>
      <c r="AA16" s="4">
        <f t="shared" si="13"/>
        <v>1033.72</v>
      </c>
      <c r="AB16" s="14">
        <f>IF(Foglio1!$G$7=15,'KA07'!AA16,0)</f>
        <v>0</v>
      </c>
      <c r="AC16" s="12">
        <f t="shared" si="14"/>
        <v>888.63421999999991</v>
      </c>
      <c r="AD16" s="14">
        <f>IF(Foglio1!$G$7=15,'KA07'!AC16,0)</f>
        <v>0</v>
      </c>
    </row>
    <row r="17" spans="9:30" x14ac:dyDescent="0.25">
      <c r="U17" s="2">
        <f>(B5)*13-10.1*3-16.83*7</f>
        <v>141.79000000000002</v>
      </c>
      <c r="V17" s="14">
        <f>IF(Foglio1!$G$7=21,'KA07'!U17,0)</f>
        <v>0</v>
      </c>
      <c r="W17" s="2">
        <f>(C5)*13-16.83*13</f>
        <v>315.5100000000001</v>
      </c>
      <c r="X17" s="14">
        <f>IF(Foglio1!$G$7=21,'KA07'!W17,0)</f>
        <v>0</v>
      </c>
      <c r="Y17" s="2">
        <f>(D5)*13-16.83*13</f>
        <v>782.21</v>
      </c>
      <c r="Z17" s="14">
        <f>IF(Foglio1!$G$7=21,'KA07'!Y17,0)</f>
        <v>0</v>
      </c>
      <c r="AA17" s="4">
        <f t="shared" si="13"/>
        <v>1108.21</v>
      </c>
      <c r="AB17" s="14">
        <f>IF(Foglio1!$G$7=21,'KA07'!AA17,0)</f>
        <v>0</v>
      </c>
      <c r="AC17" s="12">
        <f t="shared" si="14"/>
        <v>954.81858499999998</v>
      </c>
      <c r="AD17" s="14">
        <f>IF(Foglio1!$G$7=21,'KA07'!AC17,0)</f>
        <v>0</v>
      </c>
    </row>
    <row r="18" spans="9:30" x14ac:dyDescent="0.25">
      <c r="U18" s="2">
        <f>(B6)*13-10.85*3-18.09*7</f>
        <v>152.82</v>
      </c>
      <c r="V18" s="14">
        <f>IF(Foglio1!$G$7=28,'KA07'!U18,0)</f>
        <v>0</v>
      </c>
      <c r="W18" s="2">
        <f>(C6)*13-18.09*13</f>
        <v>339.43000000000006</v>
      </c>
      <c r="X18" s="14">
        <f>IF(Foglio1!$G$7=28,'KA07'!W18,0)</f>
        <v>0</v>
      </c>
      <c r="Y18" s="2">
        <f>(D6)*13-18.09*13</f>
        <v>765.83</v>
      </c>
      <c r="Z18" s="14">
        <f>IF(Foglio1!$G$7=28,'KA07'!Y18,0)</f>
        <v>0</v>
      </c>
      <c r="AA18" s="4">
        <f t="shared" si="13"/>
        <v>1218.83</v>
      </c>
      <c r="AB18" s="14">
        <f>IF(Foglio1!$G$7=28,'KA07'!AA18,0)</f>
        <v>0</v>
      </c>
      <c r="AC18" s="12">
        <f t="shared" si="14"/>
        <v>1029.2949549999998</v>
      </c>
      <c r="AD18" s="14">
        <f>IF(Foglio1!$G$7=28,'KA07'!AC18,0)</f>
        <v>0</v>
      </c>
    </row>
    <row r="19" spans="9:30" x14ac:dyDescent="0.25">
      <c r="U19" s="2">
        <f>(B7)*13-11.41*3-19.02*7</f>
        <v>160.22999999999996</v>
      </c>
      <c r="V19" s="14">
        <f>IF(Foglio1!$G$7=35,'KA07'!U19,0)</f>
        <v>0</v>
      </c>
      <c r="W19" s="2">
        <f>(C7)*13-19.02*13</f>
        <v>357.24</v>
      </c>
      <c r="X19" s="14">
        <f>IF(Foglio1!$G$7=35,'KA07'!W19,0)</f>
        <v>0</v>
      </c>
      <c r="Y19" s="2">
        <f>(D7)*13-19.02*13</f>
        <v>753.74</v>
      </c>
      <c r="Z19" s="14">
        <f>IF(Foglio1!$G$7=35,'KA07'!Y19,0)</f>
        <v>0</v>
      </c>
      <c r="AA19" s="4">
        <f t="shared" si="13"/>
        <v>1271.74</v>
      </c>
      <c r="AB19" s="14">
        <f>IF(Foglio1!$G$7=35,'KA07'!AA19,0)</f>
        <v>0</v>
      </c>
      <c r="AC19" s="12">
        <f t="shared" si="14"/>
        <v>1076.30549</v>
      </c>
      <c r="AD19" s="14">
        <f>IF(Foglio1!$G$7=35,'KA07'!AC19,0)</f>
        <v>0</v>
      </c>
    </row>
    <row r="20" spans="9:30" x14ac:dyDescent="0.25">
      <c r="V20" s="12">
        <f>SUM(V14:V19)</f>
        <v>107.5</v>
      </c>
      <c r="X20" s="12">
        <f>SUM(X14:X19)</f>
        <v>238.55</v>
      </c>
      <c r="Z20" s="12">
        <f>SUM(Z14:Z19)</f>
        <v>731.25</v>
      </c>
      <c r="AB20" s="12">
        <f>SUM(AB14:AB19)</f>
        <v>851.25</v>
      </c>
      <c r="AC20" s="12"/>
      <c r="AD20" s="12">
        <f>SUM(AD14:AD19)</f>
        <v>731.48062500000003</v>
      </c>
    </row>
    <row r="23" spans="9:30" ht="31.5" x14ac:dyDescent="0.5">
      <c r="I23" s="11" t="s">
        <v>36</v>
      </c>
    </row>
    <row r="26" spans="9:30" x14ac:dyDescent="0.25">
      <c r="I26">
        <f>IF(Foglio1!A5='KA07'!I23,1,0)</f>
        <v>0</v>
      </c>
      <c r="J26" s="12">
        <f>T8*I26</f>
        <v>0</v>
      </c>
      <c r="K26" s="12">
        <f>U8*I26</f>
        <v>0</v>
      </c>
      <c r="V26" s="12">
        <f>V20*I26</f>
        <v>0</v>
      </c>
      <c r="X26" s="12">
        <f>X20*I26</f>
        <v>0</v>
      </c>
      <c r="Z26" s="12">
        <f>Z20*I26</f>
        <v>0</v>
      </c>
      <c r="AB26" s="12">
        <f>AB20*I26</f>
        <v>0</v>
      </c>
      <c r="AD26" s="12">
        <f>AD20*I26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E5109-0CD3-4297-AEDF-742E8B753F26}">
  <dimension ref="A1:AD26"/>
  <sheetViews>
    <sheetView topLeftCell="E1" workbookViewId="0">
      <selection activeCell="AD27" sqref="AD27"/>
    </sheetView>
  </sheetViews>
  <sheetFormatPr defaultRowHeight="15" x14ac:dyDescent="0.25"/>
  <cols>
    <col min="4" max="4" width="9.42578125" bestFit="1" customWidth="1"/>
    <col min="6" max="7" width="11" bestFit="1" customWidth="1"/>
    <col min="10" max="11" width="11" bestFit="1" customWidth="1"/>
    <col min="14" max="14" width="11" bestFit="1" customWidth="1"/>
    <col min="16" max="16" width="9.42578125" bestFit="1" customWidth="1"/>
    <col min="19" max="19" width="11.7109375" bestFit="1" customWidth="1"/>
    <col min="20" max="20" width="11" bestFit="1" customWidth="1"/>
    <col min="21" max="23" width="9.42578125" bestFit="1" customWidth="1"/>
    <col min="25" max="29" width="11" bestFit="1" customWidth="1"/>
    <col min="30" max="30" width="9.42578125" bestFit="1" customWidth="1"/>
  </cols>
  <sheetData>
    <row r="1" spans="1:30" x14ac:dyDescent="0.25">
      <c r="B1" s="1">
        <v>2019</v>
      </c>
      <c r="C1" s="1">
        <v>2020</v>
      </c>
      <c r="D1" s="1">
        <v>2021</v>
      </c>
      <c r="E1" s="3">
        <v>2022</v>
      </c>
      <c r="F1" s="1" t="s">
        <v>2</v>
      </c>
      <c r="G1" s="3" t="s">
        <v>1</v>
      </c>
      <c r="H1" s="1" t="s">
        <v>3</v>
      </c>
      <c r="I1" s="3" t="s">
        <v>3</v>
      </c>
      <c r="J1" s="1" t="s">
        <v>4</v>
      </c>
      <c r="K1" s="3" t="s">
        <v>4</v>
      </c>
      <c r="L1" s="1" t="s">
        <v>5</v>
      </c>
      <c r="M1" s="3" t="s">
        <v>6</v>
      </c>
      <c r="N1" s="1" t="s">
        <v>5</v>
      </c>
      <c r="O1" s="3" t="s">
        <v>6</v>
      </c>
      <c r="P1" s="3" t="s">
        <v>14</v>
      </c>
      <c r="Q1" s="3" t="s">
        <v>4</v>
      </c>
      <c r="R1" s="3" t="s">
        <v>8</v>
      </c>
      <c r="S1" s="9" t="s">
        <v>9</v>
      </c>
      <c r="T1" s="3" t="s">
        <v>27</v>
      </c>
      <c r="U1" s="3" t="s">
        <v>6</v>
      </c>
    </row>
    <row r="2" spans="1:30" x14ac:dyDescent="0.25">
      <c r="A2" t="s">
        <v>16</v>
      </c>
      <c r="B2" s="2">
        <v>16.899999999999999</v>
      </c>
      <c r="C2" s="2">
        <v>31.1</v>
      </c>
      <c r="D2" s="2">
        <v>69</v>
      </c>
      <c r="E2" s="4">
        <f>D2</f>
        <v>69</v>
      </c>
      <c r="F2" s="2">
        <f>(B2+C2+D2)*13-7.65*3-12.75*33</f>
        <v>1077.3</v>
      </c>
      <c r="G2" s="4">
        <f>E2*13-12.75*13</f>
        <v>731.25</v>
      </c>
      <c r="H2" s="2">
        <f t="shared" ref="H2:I7" si="0">F2*11.15%</f>
        <v>120.11895</v>
      </c>
      <c r="I2" s="5">
        <f t="shared" si="0"/>
        <v>81.534374999999997</v>
      </c>
      <c r="J2" s="6">
        <f t="shared" ref="J2:J7" si="1">F2-H2</f>
        <v>957.18104999999991</v>
      </c>
      <c r="K2" s="5">
        <f>G2-I2+Q2</f>
        <v>758.73562500000003</v>
      </c>
      <c r="L2" s="1">
        <v>24</v>
      </c>
      <c r="M2" s="3">
        <v>25</v>
      </c>
      <c r="N2" s="7">
        <f t="shared" ref="N2:O7" si="2">J2*(100-L2)/100</f>
        <v>727.45759799999996</v>
      </c>
      <c r="O2" s="8">
        <f t="shared" si="2"/>
        <v>569.05171874999996</v>
      </c>
      <c r="P2" s="4">
        <f>10*12</f>
        <v>120</v>
      </c>
      <c r="Q2" s="5">
        <f>P2*(100-9.15)/100</f>
        <v>109.02</v>
      </c>
      <c r="R2" s="5">
        <f>Q2*(100-M2)/100</f>
        <v>81.765000000000001</v>
      </c>
      <c r="S2" s="10">
        <f>N2+O2+R2</f>
        <v>1378.27431675</v>
      </c>
      <c r="T2" s="14">
        <f>IF(Foglio1!$G$7=0,'KA08'!J2,0)</f>
        <v>957.18104999999991</v>
      </c>
      <c r="U2" s="14">
        <f>IF(Foglio1!$G$7=0,'KA08'!K2,0)</f>
        <v>758.73562500000003</v>
      </c>
    </row>
    <row r="3" spans="1:30" x14ac:dyDescent="0.25">
      <c r="A3">
        <v>9</v>
      </c>
      <c r="B3" s="2">
        <v>19.399999999999999</v>
      </c>
      <c r="C3" s="2">
        <v>35.700000000000003</v>
      </c>
      <c r="D3" s="2">
        <v>79</v>
      </c>
      <c r="E3" s="4">
        <f>D3</f>
        <v>79</v>
      </c>
      <c r="F3" s="2">
        <f>(B3+C3+D3)*13-8.77*3-14.61*33</f>
        <v>1234.8600000000001</v>
      </c>
      <c r="G3" s="4">
        <f>E3*13-14.61*13</f>
        <v>837.06999999999994</v>
      </c>
      <c r="H3" s="2">
        <f t="shared" si="0"/>
        <v>137.68689000000001</v>
      </c>
      <c r="I3" s="5">
        <f t="shared" si="0"/>
        <v>93.333304999999996</v>
      </c>
      <c r="J3" s="6">
        <f t="shared" si="1"/>
        <v>1097.1731100000002</v>
      </c>
      <c r="K3" s="5">
        <f t="shared" ref="K3:K7" si="3">G3-I3+Q3</f>
        <v>852.75669499999992</v>
      </c>
      <c r="L3" s="1">
        <v>24</v>
      </c>
      <c r="M3" s="3">
        <v>25</v>
      </c>
      <c r="N3" s="7">
        <f t="shared" si="2"/>
        <v>833.85156360000008</v>
      </c>
      <c r="O3" s="8">
        <f t="shared" si="2"/>
        <v>639.56752124999991</v>
      </c>
      <c r="P3" s="4">
        <f>10*12</f>
        <v>120</v>
      </c>
      <c r="Q3" s="5">
        <f>P3*(100-9.15)/100</f>
        <v>109.02</v>
      </c>
      <c r="R3" s="5">
        <f>Q3*(100-M3)/100</f>
        <v>81.765000000000001</v>
      </c>
      <c r="S3" s="10">
        <f>N3+O3+R3</f>
        <v>1555.1840848500001</v>
      </c>
      <c r="T3" s="14">
        <f>IF(Foglio1!$G$7=9,'KA08'!J3,0)</f>
        <v>0</v>
      </c>
      <c r="U3" s="14">
        <f>IF(Foglio1!$G$7=9,'KA08'!K3,0)</f>
        <v>0</v>
      </c>
    </row>
    <row r="4" spans="1:30" x14ac:dyDescent="0.25">
      <c r="A4">
        <v>15</v>
      </c>
      <c r="B4" s="2">
        <v>21.3</v>
      </c>
      <c r="C4" s="2">
        <v>39.200000000000003</v>
      </c>
      <c r="D4" s="2">
        <v>87</v>
      </c>
      <c r="E4" s="4">
        <f>D4</f>
        <v>87</v>
      </c>
      <c r="F4" s="2">
        <f>(B4+C4+D4)*13-9.62*3-16.03*33</f>
        <v>1359.65</v>
      </c>
      <c r="G4" s="4">
        <f>E4*13-16.33*13</f>
        <v>918.71</v>
      </c>
      <c r="H4" s="2">
        <f t="shared" si="0"/>
        <v>151.60097500000001</v>
      </c>
      <c r="I4" s="5">
        <f t="shared" si="0"/>
        <v>102.436165</v>
      </c>
      <c r="J4" s="6">
        <f t="shared" si="1"/>
        <v>1208.049025</v>
      </c>
      <c r="K4" s="5">
        <f t="shared" si="3"/>
        <v>947.09783500000003</v>
      </c>
      <c r="L4" s="1">
        <v>24</v>
      </c>
      <c r="M4" s="3">
        <v>25</v>
      </c>
      <c r="N4" s="7">
        <f t="shared" si="2"/>
        <v>918.1172590000001</v>
      </c>
      <c r="O4" s="8">
        <f t="shared" si="2"/>
        <v>710.32337625000002</v>
      </c>
      <c r="P4" s="4">
        <f>12*12</f>
        <v>144</v>
      </c>
      <c r="Q4" s="5">
        <f>P4*(100-9.15)/100</f>
        <v>130.82399999999998</v>
      </c>
      <c r="R4" s="5">
        <f>Q4*(100-M4)/100</f>
        <v>98.117999999999995</v>
      </c>
      <c r="S4" s="10">
        <f>N4+O4+R4</f>
        <v>1726.55863525</v>
      </c>
      <c r="T4" s="14">
        <f>IF(Foglio1!$G$7=15,'KA08'!J4,0)</f>
        <v>0</v>
      </c>
      <c r="U4" s="14">
        <f>IF(Foglio1!$G$7=15,'KA08'!K4,0)</f>
        <v>0</v>
      </c>
    </row>
    <row r="5" spans="1:30" x14ac:dyDescent="0.25">
      <c r="A5">
        <v>21</v>
      </c>
      <c r="B5" s="2">
        <v>23.7</v>
      </c>
      <c r="C5" s="2">
        <v>43.6</v>
      </c>
      <c r="D5" s="2">
        <v>97</v>
      </c>
      <c r="E5" s="4">
        <v>91</v>
      </c>
      <c r="F5" s="2">
        <f>(B5+C5+D5)*13-10.7*3-17.83*33</f>
        <v>1515.4100000000003</v>
      </c>
      <c r="G5" s="4">
        <f>E5*13-17.83*13</f>
        <v>951.21</v>
      </c>
      <c r="H5" s="2">
        <f t="shared" si="0"/>
        <v>168.96821500000004</v>
      </c>
      <c r="I5" s="5">
        <f t="shared" si="0"/>
        <v>106.059915</v>
      </c>
      <c r="J5" s="6">
        <f t="shared" si="1"/>
        <v>1346.4417850000002</v>
      </c>
      <c r="K5" s="5">
        <f t="shared" si="3"/>
        <v>975.97408499999995</v>
      </c>
      <c r="L5" s="1">
        <v>25.18</v>
      </c>
      <c r="M5" s="3">
        <v>35</v>
      </c>
      <c r="N5" s="7">
        <f t="shared" si="2"/>
        <v>1007.4077435370001</v>
      </c>
      <c r="O5" s="8">
        <f t="shared" si="2"/>
        <v>634.38315524999996</v>
      </c>
      <c r="P5" s="4">
        <f t="shared" ref="P5" si="4">12*12</f>
        <v>144</v>
      </c>
      <c r="Q5" s="5">
        <f t="shared" ref="Q5:Q7" si="5">P5*(100-9.15)/100</f>
        <v>130.82399999999998</v>
      </c>
      <c r="R5" s="5">
        <f t="shared" ref="R5:R7" si="6">Q5*(100-M5)/100</f>
        <v>85.035599999999988</v>
      </c>
      <c r="S5" s="10">
        <f t="shared" ref="S5:S7" si="7">N5+O5+R5</f>
        <v>1726.826498787</v>
      </c>
      <c r="T5" s="14">
        <f>IF(Foglio1!$G$7=21,'KA08'!J5,0)</f>
        <v>0</v>
      </c>
      <c r="U5" s="14">
        <f>IF(Foglio1!$G$7=21,'KA08'!K5,0)</f>
        <v>0</v>
      </c>
    </row>
    <row r="6" spans="1:30" x14ac:dyDescent="0.25">
      <c r="A6">
        <v>28</v>
      </c>
      <c r="B6" s="2">
        <v>25.2</v>
      </c>
      <c r="C6" s="2">
        <v>46.5</v>
      </c>
      <c r="D6" s="2">
        <v>103</v>
      </c>
      <c r="E6" s="4">
        <v>98</v>
      </c>
      <c r="F6" s="2">
        <f>(B6+C6+D6)*13-11.41*3-19.02*33</f>
        <v>1609.21</v>
      </c>
      <c r="G6" s="4">
        <f>E6*13-17.02*13</f>
        <v>1052.74</v>
      </c>
      <c r="H6" s="2">
        <f t="shared" si="0"/>
        <v>179.42691500000001</v>
      </c>
      <c r="I6" s="5">
        <f t="shared" si="0"/>
        <v>117.38051</v>
      </c>
      <c r="J6" s="6">
        <f t="shared" si="1"/>
        <v>1429.783085</v>
      </c>
      <c r="K6" s="5">
        <f t="shared" si="3"/>
        <v>1098.88949</v>
      </c>
      <c r="L6" s="1">
        <v>25.18</v>
      </c>
      <c r="M6" s="3">
        <v>35</v>
      </c>
      <c r="N6" s="7">
        <f t="shared" si="2"/>
        <v>1069.7637041969999</v>
      </c>
      <c r="O6" s="8">
        <f t="shared" si="2"/>
        <v>714.27816849999999</v>
      </c>
      <c r="P6" s="4">
        <f>15*12</f>
        <v>180</v>
      </c>
      <c r="Q6" s="5">
        <f t="shared" si="5"/>
        <v>163.52999999999997</v>
      </c>
      <c r="R6" s="5">
        <f t="shared" si="6"/>
        <v>106.29449999999999</v>
      </c>
      <c r="S6" s="10">
        <f t="shared" si="7"/>
        <v>1890.3363726969999</v>
      </c>
      <c r="T6" s="14">
        <f>IF(Foglio1!$G$7=28,'KA08'!J6,0)</f>
        <v>0</v>
      </c>
      <c r="U6" s="14">
        <f>IF(Foglio1!$G$7=28,'KA08'!K6,0)</f>
        <v>0</v>
      </c>
    </row>
    <row r="7" spans="1:30" x14ac:dyDescent="0.25">
      <c r="A7">
        <v>35</v>
      </c>
      <c r="B7" s="2">
        <v>26.5</v>
      </c>
      <c r="C7" s="2">
        <v>48.8</v>
      </c>
      <c r="D7" s="2">
        <v>108</v>
      </c>
      <c r="E7" s="4">
        <v>103</v>
      </c>
      <c r="F7" s="2">
        <f>(B7+C7+D7)*13-11.97*3-19.96*33</f>
        <v>1688.3100000000002</v>
      </c>
      <c r="G7" s="4">
        <f>E7*13-19.96*13</f>
        <v>1079.52</v>
      </c>
      <c r="H7" s="2">
        <f t="shared" si="0"/>
        <v>188.24656500000003</v>
      </c>
      <c r="I7" s="5">
        <f t="shared" si="0"/>
        <v>120.36648</v>
      </c>
      <c r="J7" s="6">
        <f t="shared" si="1"/>
        <v>1500.063435</v>
      </c>
      <c r="K7" s="5">
        <f t="shared" si="3"/>
        <v>1122.68352</v>
      </c>
      <c r="L7" s="1">
        <v>25.18</v>
      </c>
      <c r="M7" s="3">
        <v>35</v>
      </c>
      <c r="N7" s="7">
        <f t="shared" si="2"/>
        <v>1122.3474620669999</v>
      </c>
      <c r="O7" s="8">
        <f t="shared" si="2"/>
        <v>729.7442880000001</v>
      </c>
      <c r="P7" s="4">
        <f>15*12</f>
        <v>180</v>
      </c>
      <c r="Q7" s="5">
        <f t="shared" si="5"/>
        <v>163.52999999999997</v>
      </c>
      <c r="R7" s="5">
        <f t="shared" si="6"/>
        <v>106.29449999999999</v>
      </c>
      <c r="S7" s="10">
        <f t="shared" si="7"/>
        <v>1958.386250067</v>
      </c>
      <c r="T7" s="14">
        <f>IF(Foglio1!$G$7=35,'KA08'!J7,0)</f>
        <v>0</v>
      </c>
      <c r="U7" s="14">
        <f>IF(Foglio1!$G$7=35,'KA08'!K7,0)</f>
        <v>0</v>
      </c>
    </row>
    <row r="8" spans="1:30" x14ac:dyDescent="0.25">
      <c r="T8" s="12">
        <f>SUM(T2:T7)</f>
        <v>957.18104999999991</v>
      </c>
      <c r="U8" s="12">
        <f>SUM(U2:U7)</f>
        <v>758.73562500000003</v>
      </c>
    </row>
    <row r="13" spans="1:30" x14ac:dyDescent="0.25">
      <c r="U13" s="1">
        <v>2019</v>
      </c>
      <c r="V13" s="3" t="s">
        <v>27</v>
      </c>
      <c r="W13" s="1" t="s">
        <v>2</v>
      </c>
      <c r="X13" s="3" t="s">
        <v>27</v>
      </c>
      <c r="Y13" s="1">
        <v>2020</v>
      </c>
      <c r="Z13" s="3" t="s">
        <v>27</v>
      </c>
      <c r="AA13" s="3">
        <v>2022</v>
      </c>
      <c r="AB13" s="3" t="s">
        <v>27</v>
      </c>
      <c r="AC13" s="3" t="s">
        <v>52</v>
      </c>
      <c r="AD13" s="3" t="s">
        <v>27</v>
      </c>
    </row>
    <row r="14" spans="1:30" x14ac:dyDescent="0.25">
      <c r="U14" s="2">
        <f>(B2)*13-7.65*3-12.75*7</f>
        <v>107.5</v>
      </c>
      <c r="V14" s="14">
        <f>IF(Foglio1!$G$7=0,'KA08'!U14,0)</f>
        <v>107.5</v>
      </c>
      <c r="W14" s="2">
        <f>(C2)*13-12.75*13</f>
        <v>238.55</v>
      </c>
      <c r="X14" s="14">
        <f>IF(Foglio1!$G$7=0,'KA08'!W14,0)</f>
        <v>238.55</v>
      </c>
      <c r="Y14" s="2">
        <f>(D2)*13-12.75*13</f>
        <v>731.25</v>
      </c>
      <c r="Z14" s="14">
        <f>IF(Foglio1!$G$7=0,'KA08'!Y14,0)</f>
        <v>731.25</v>
      </c>
      <c r="AA14" s="4">
        <f>G2+P2</f>
        <v>851.25</v>
      </c>
      <c r="AB14" s="14">
        <f>IF(Foglio1!$G$7=0,'KA08'!AA14,0)</f>
        <v>851.25</v>
      </c>
      <c r="AC14" s="12">
        <f>K2</f>
        <v>758.73562500000003</v>
      </c>
      <c r="AD14" s="14">
        <f>IF(Foglio1!$G$7=0,'KA08'!AC14,0)</f>
        <v>758.73562500000003</v>
      </c>
    </row>
    <row r="15" spans="1:30" x14ac:dyDescent="0.25">
      <c r="U15" s="2">
        <f>(B3)*13-8.77*3-14.61*7</f>
        <v>123.61999999999999</v>
      </c>
      <c r="V15" s="14">
        <f>IF(Foglio1!$G$7=9,'KA08'!U15,0)</f>
        <v>0</v>
      </c>
      <c r="W15" s="2">
        <f>(C3)*13-14.61*13</f>
        <v>274.17</v>
      </c>
      <c r="X15" s="14">
        <f>IF(Foglio1!$G$7=9,'KA08'!W15,0)</f>
        <v>0</v>
      </c>
      <c r="Y15" s="2">
        <f>D3*13-14.61*13</f>
        <v>837.06999999999994</v>
      </c>
      <c r="Z15" s="14">
        <f>IF(Foglio1!$G$7=9,'KA08'!Y15,0)</f>
        <v>0</v>
      </c>
      <c r="AA15" s="4">
        <f t="shared" ref="AA15:AA19" si="8">G3+P3</f>
        <v>957.06999999999994</v>
      </c>
      <c r="AB15" s="14">
        <f>IF(Foglio1!$G$7=9,'KA08'!AA15,0)</f>
        <v>0</v>
      </c>
      <c r="AC15" s="12">
        <f t="shared" ref="AC15:AC19" si="9">K3</f>
        <v>852.75669499999992</v>
      </c>
      <c r="AD15" s="14">
        <f>IF(Foglio1!$G$7=9,'KA08'!AC15,0)</f>
        <v>0</v>
      </c>
    </row>
    <row r="16" spans="1:30" x14ac:dyDescent="0.25">
      <c r="U16" s="2">
        <f>(B4)*13-9.62*3-16.03*7</f>
        <v>135.83000000000001</v>
      </c>
      <c r="V16" s="14">
        <f>IF(Foglio1!$G$7=15,'KA08'!U16,0)</f>
        <v>0</v>
      </c>
      <c r="W16" s="2">
        <f>(C4)*13-16.03*13</f>
        <v>301.21000000000004</v>
      </c>
      <c r="X16" s="14">
        <f>IF(Foglio1!$G$7=15,'KA08'!W16,0)</f>
        <v>0</v>
      </c>
      <c r="Y16" s="2">
        <f>D4*13-16.03*13</f>
        <v>922.61</v>
      </c>
      <c r="Z16" s="14">
        <f>IF(Foglio1!$G$7=15,'KA08'!Y16,0)</f>
        <v>0</v>
      </c>
      <c r="AA16" s="4">
        <f t="shared" si="8"/>
        <v>1062.71</v>
      </c>
      <c r="AB16" s="14">
        <f>IF(Foglio1!$G$7=15,'KA08'!AA16,0)</f>
        <v>0</v>
      </c>
      <c r="AC16" s="12">
        <f t="shared" si="9"/>
        <v>947.09783500000003</v>
      </c>
      <c r="AD16" s="14">
        <f>IF(Foglio1!$G$7=15,'KA08'!AC16,0)</f>
        <v>0</v>
      </c>
    </row>
    <row r="17" spans="9:30" x14ac:dyDescent="0.25">
      <c r="U17" s="2">
        <f>(B5)*13-10.7*3-17.83*7</f>
        <v>151.19</v>
      </c>
      <c r="V17" s="14">
        <f>IF(Foglio1!$G$7=21,'KA08'!U17,0)</f>
        <v>0</v>
      </c>
      <c r="W17" s="2">
        <f>(C5)*13-17.83*13</f>
        <v>335.0100000000001</v>
      </c>
      <c r="X17" s="14">
        <f>IF(Foglio1!$G$7=21,'KA08'!W17,0)</f>
        <v>0</v>
      </c>
      <c r="Y17" s="2">
        <f>D5*13-17.83*13</f>
        <v>1029.21</v>
      </c>
      <c r="Z17" s="14">
        <f>IF(Foglio1!$G$7=21,'KA08'!Y17,0)</f>
        <v>0</v>
      </c>
      <c r="AA17" s="4">
        <f t="shared" si="8"/>
        <v>1095.21</v>
      </c>
      <c r="AB17" s="14">
        <f>IF(Foglio1!$G$7=21,'KA08'!AA17,0)</f>
        <v>0</v>
      </c>
      <c r="AC17" s="12">
        <f t="shared" si="9"/>
        <v>975.97408499999995</v>
      </c>
      <c r="AD17" s="14">
        <f>IF(Foglio1!$G$7=21,'KA08'!AC17,0)</f>
        <v>0</v>
      </c>
    </row>
    <row r="18" spans="9:30" x14ac:dyDescent="0.25">
      <c r="U18" s="2">
        <f>(B6)*13-11.41*3-19.02*7</f>
        <v>160.22999999999996</v>
      </c>
      <c r="V18" s="14">
        <f>IF(Foglio1!$G$7=28,'KA08'!U18,0)</f>
        <v>0</v>
      </c>
      <c r="W18" s="2">
        <f>(C6)*13-19.02*13</f>
        <v>357.24</v>
      </c>
      <c r="X18" s="14">
        <f>IF(Foglio1!$G$7=28,'KA08'!W18,0)</f>
        <v>0</v>
      </c>
      <c r="Y18" s="2">
        <f>D6*13-19.02*13</f>
        <v>1091.74</v>
      </c>
      <c r="Z18" s="14">
        <f>IF(Foglio1!$G$7=28,'KA08'!Y18,0)</f>
        <v>0</v>
      </c>
      <c r="AA18" s="4">
        <f t="shared" si="8"/>
        <v>1232.74</v>
      </c>
      <c r="AB18" s="14">
        <f>IF(Foglio1!$G$7=28,'KA08'!AA18,0)</f>
        <v>0</v>
      </c>
      <c r="AC18" s="12">
        <f t="shared" si="9"/>
        <v>1098.88949</v>
      </c>
      <c r="AD18" s="14">
        <f>IF(Foglio1!$G$7=28,'KA08'!AC18,0)</f>
        <v>0</v>
      </c>
    </row>
    <row r="19" spans="9:30" x14ac:dyDescent="0.25">
      <c r="U19" s="2">
        <f>(B7)*13-11.97*3-19.96*7</f>
        <v>168.86999999999998</v>
      </c>
      <c r="V19" s="14">
        <f>IF(Foglio1!$G$7=35,'KA08'!U19,0)</f>
        <v>0</v>
      </c>
      <c r="W19" s="2">
        <f>(C7)*13-19.96*13</f>
        <v>374.91999999999996</v>
      </c>
      <c r="X19" s="14">
        <f>IF(Foglio1!$G$7=35,'KA08'!W19,0)</f>
        <v>0</v>
      </c>
      <c r="Y19" s="2">
        <f>D7*13-19.96*13</f>
        <v>1144.52</v>
      </c>
      <c r="Z19" s="14">
        <f>IF(Foglio1!$G$7=35,'KA08'!Y19,0)</f>
        <v>0</v>
      </c>
      <c r="AA19" s="4">
        <f t="shared" si="8"/>
        <v>1259.52</v>
      </c>
      <c r="AB19" s="14">
        <f>IF(Foglio1!$G$7=35,'KA08'!AA19,0)</f>
        <v>0</v>
      </c>
      <c r="AC19" s="12">
        <f t="shared" si="9"/>
        <v>1122.68352</v>
      </c>
      <c r="AD19" s="14">
        <f>IF(Foglio1!$G$7=35,'KA08'!AC19,0)</f>
        <v>0</v>
      </c>
    </row>
    <row r="20" spans="9:30" x14ac:dyDescent="0.25">
      <c r="V20" s="12">
        <f>SUM(V14:V19)</f>
        <v>107.5</v>
      </c>
      <c r="X20" s="12">
        <f>SUM(X14:X19)</f>
        <v>238.55</v>
      </c>
      <c r="Z20" s="12">
        <f>SUM(Z14:Z19)</f>
        <v>731.25</v>
      </c>
      <c r="AB20" s="12">
        <f>SUM(AB14:AB19)</f>
        <v>851.25</v>
      </c>
      <c r="AD20" s="12">
        <f>SUM(AD14:AD19)</f>
        <v>758.73562500000003</v>
      </c>
    </row>
    <row r="23" spans="9:30" ht="31.5" x14ac:dyDescent="0.5">
      <c r="I23" s="11" t="s">
        <v>35</v>
      </c>
    </row>
    <row r="26" spans="9:30" x14ac:dyDescent="0.25">
      <c r="I26">
        <f>IF(Foglio1!A5='KA08'!I23,1,0)</f>
        <v>0</v>
      </c>
      <c r="J26" s="12">
        <f>T8*I26</f>
        <v>0</v>
      </c>
      <c r="K26" s="12">
        <f>U8*I26</f>
        <v>0</v>
      </c>
      <c r="V26" s="12">
        <f>V20*I26</f>
        <v>0</v>
      </c>
      <c r="X26" s="12">
        <f>X20*I26</f>
        <v>0</v>
      </c>
      <c r="Z26" s="12">
        <f>Z20*I26</f>
        <v>0</v>
      </c>
      <c r="AB26" s="12">
        <f>AB20*I26</f>
        <v>0</v>
      </c>
      <c r="AD26" s="12">
        <f>AD20*I26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Foglio1</vt:lpstr>
      <vt:lpstr>ka01</vt:lpstr>
      <vt:lpstr>KA03</vt:lpstr>
      <vt:lpstr>KA04</vt:lpstr>
      <vt:lpstr>ka09</vt:lpstr>
      <vt:lpstr>KA05</vt:lpstr>
      <vt:lpstr>KA06</vt:lpstr>
      <vt:lpstr>KA07</vt:lpstr>
      <vt:lpstr>KA08</vt:lpstr>
      <vt:lpstr>KD01</vt:lpstr>
      <vt:lpstr>kd03</vt:lpstr>
      <vt:lpstr>KA11</vt:lpstr>
      <vt:lpstr>KA10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Manzon</dc:creator>
  <cp:lastModifiedBy>Manzon Sergio</cp:lastModifiedBy>
  <dcterms:created xsi:type="dcterms:W3CDTF">2022-11-11T19:01:21Z</dcterms:created>
  <dcterms:modified xsi:type="dcterms:W3CDTF">2022-11-28T08:21:04Z</dcterms:modified>
</cp:coreProperties>
</file>